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8460" tabRatio="0" activeTab="0"/>
  </bookViews>
  <sheets>
    <sheet name="TDSheet" sheetId="1" r:id="rId1"/>
  </sheets>
  <definedNames>
    <definedName name="_xlnm._FilterDatabase" localSheetId="0" hidden="1">'TDSheet'!$B$1:$B$358</definedName>
    <definedName name="_xlnm.Print_Area" localSheetId="0">'TDSheet'!$A$1:$T$357</definedName>
  </definedNames>
  <calcPr fullCalcOnLoad="1"/>
</workbook>
</file>

<file path=xl/sharedStrings.xml><?xml version="1.0" encoding="utf-8"?>
<sst xmlns="http://schemas.openxmlformats.org/spreadsheetml/2006/main" count="596" uniqueCount="134">
  <si>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</si>
  <si>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</si>
  <si>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</si>
  <si>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</si>
  <si>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</si>
  <si>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</si>
  <si>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</si>
  <si>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</si>
  <si>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</si>
  <si>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</si>
  <si>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</si>
  <si>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</si>
  <si>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</si>
  <si>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</si>
  <si>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</si>
  <si>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</si>
  <si>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</si>
  <si>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</si>
  <si>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</si>
  <si>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</si>
  <si>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</si>
  <si>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</si>
  <si>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</si>
  <si>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</si>
  <si>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</si>
  <si>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</si>
  <si>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</si>
  <si>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</si>
  <si>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</si>
  <si>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</si>
  <si>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</si>
  <si>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</si>
  <si>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</si>
  <si>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</si>
  <si>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</si>
  <si>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</si>
  <si>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</si>
  <si>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</si>
  <si>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</si>
  <si>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</si>
  <si>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</si>
  <si>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</si>
  <si>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</si>
  <si>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</si>
  <si>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</si>
  <si>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</si>
  <si>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</si>
  <si>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</si>
  <si>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</si>
  <si>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</si>
  <si>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</si>
  <si>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</si>
  <si>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</si>
  <si>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</si>
  <si>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</si>
  <si>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</si>
  <si>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</si>
  <si>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7-11 лет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</si>
  <si>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</si>
  <si>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</si>
  <si>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</si>
  <si>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</si>
  <si>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</si>
  <si>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</si>
  <si>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</si>
  <si>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</si>
  <si>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</si>
  <si>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</si>
  <si>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</si>
  <si>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Оладьи с яблоками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</si>
  <si>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</si>
  <si>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</si>
  <si>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</si>
  <si>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</si>
  <si>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</si>
  <si>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</si>
  <si>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</si>
  <si>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</si>
  <si>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</si>
  <si>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</si>
  <si>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</si>
  <si>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</si>
  <si>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Зеленый горошек</t>
  </si>
  <si>
    <t>Котлета "Куриная"</t>
  </si>
  <si>
    <t>Винегрет овощной</t>
  </si>
  <si>
    <t>№ рец. по сборнику</t>
  </si>
  <si>
    <t>Салат из капусты с огурцом</t>
  </si>
  <si>
    <t>* 29 ОП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</si>
  <si>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</si>
  <si>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</si>
  <si>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Салат "Витаминный" (капуста квашеная, зел. горошек)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</si>
  <si>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</si>
  <si>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</si>
  <si>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 xml:space="preserve">Какао с молоком </t>
  </si>
  <si>
    <t>* 49 ОП</t>
  </si>
  <si>
    <t>Оладьи "Домашние" со сгущенным молоком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</si>
  <si>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</si>
  <si>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</si>
  <si>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</si>
  <si>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</si>
  <si>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</si>
  <si>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</si>
  <si>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</si>
  <si>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>Лимонный напиток</t>
  </si>
  <si>
    <t xml:space="preserve">Рис отварной с маслом сливочным </t>
  </si>
  <si>
    <t>Рассольник "Ленинградский" на м/б</t>
  </si>
  <si>
    <t>Суп картофельный с рыбными консервами</t>
  </si>
  <si>
    <t>Рагу овощное</t>
  </si>
  <si>
    <t>Птица, порционная  с овощами</t>
  </si>
  <si>
    <t>Суп картофельный (с крупой) на м/б</t>
  </si>
  <si>
    <t>Щи из свежей капусты на м/б</t>
  </si>
  <si>
    <t>Гуляш мясной 90/30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</si>
  <si>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</si>
  <si>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</si>
  <si>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</si>
  <si>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</si>
  <si>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</si>
  <si>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Овощи порционно /  огурец</t>
  </si>
  <si>
    <t>Повидло фруктовое</t>
  </si>
  <si>
    <t>Каша манная молочная с маслом сливочным</t>
  </si>
  <si>
    <t>Салат "Витаминный"</t>
  </si>
  <si>
    <t>конвертик с сыром</t>
  </si>
  <si>
    <t>Пирожок с  начинкой</t>
  </si>
  <si>
    <t>Молоко ''Авишка''</t>
  </si>
  <si>
    <t>котлета в тесте</t>
  </si>
  <si>
    <t>Пирожок с повидлом</t>
  </si>
  <si>
    <t>Ватрушка с повидлом</t>
  </si>
  <si>
    <t>Пирожок с начинкой</t>
  </si>
  <si>
    <t>Плюшка</t>
  </si>
  <si>
    <t>Блинчики с начинкой</t>
  </si>
  <si>
    <t>Холодная закуска: Овощи порционно / Огурец  соленый</t>
  </si>
  <si>
    <t>7-11 лет 11 и старше</t>
  </si>
  <si>
    <t xml:space="preserve">Рыба, запеченная с овощами </t>
  </si>
  <si>
    <t>Биточки рыбные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</si>
</sst>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82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 vertical="center" indent="1"/>
    </xf>
    <xf numFmtId="1" fontId="6" fillId="33" borderId="12" xfId="0" applyNumberFormat="1" applyFont="1" applyFill="1" applyBorder="1" applyAlignment="1">
      <alignment horizontal="right" vertical="top"/>
    </xf>
    <xf numFmtId="2" fontId="6" fillId="33" borderId="12" xfId="0" applyNumberFormat="1" applyFont="1" applyFill="1" applyBorder="1" applyAlignment="1">
      <alignment horizontal="right" vertical="top"/>
    </xf>
    <xf numFmtId="0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center" indent="1"/>
    </xf>
    <xf numFmtId="184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0" fontId="3" fillId="33" borderId="15" xfId="0" applyNumberFormat="1" applyFont="1" applyFill="1" applyBorder="1" applyAlignment="1">
      <alignment horizontal="center" vertical="top"/>
    </xf>
    <xf numFmtId="184" fontId="6" fillId="33" borderId="12" xfId="0" applyNumberFormat="1" applyFont="1" applyFill="1" applyBorder="1" applyAlignment="1">
      <alignment horizontal="right" vertical="top"/>
    </xf>
    <xf numFmtId="184" fontId="0" fillId="33" borderId="12" xfId="0" applyNumberFormat="1" applyFont="1" applyFill="1" applyBorder="1" applyAlignment="1">
      <alignment horizontal="right" vertical="center" indent="1"/>
    </xf>
    <xf numFmtId="1" fontId="3" fillId="33" borderId="16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wrapText="1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center" vertical="center"/>
    </xf>
    <xf numFmtId="10" fontId="3" fillId="33" borderId="12" xfId="63" applyNumberFormat="1" applyFont="1" applyFill="1" applyBorder="1">
      <alignment/>
      <protection/>
    </xf>
    <xf numFmtId="193" fontId="3" fillId="33" borderId="12" xfId="63" applyNumberFormat="1" applyFont="1" applyFill="1" applyBorder="1">
      <alignment/>
      <protection/>
    </xf>
    <xf numFmtId="2" fontId="3" fillId="33" borderId="12" xfId="63" applyNumberFormat="1" applyFont="1" applyFill="1" applyBorder="1">
      <alignment/>
      <protection/>
    </xf>
    <xf numFmtId="193" fontId="3" fillId="33" borderId="13" xfId="63" applyNumberFormat="1" applyFont="1" applyFill="1" applyBorder="1">
      <alignment/>
      <protection/>
    </xf>
    <xf numFmtId="193" fontId="3" fillId="33" borderId="0" xfId="63" applyNumberFormat="1" applyFont="1" applyFill="1">
      <alignment/>
      <protection/>
    </xf>
    <xf numFmtId="0" fontId="3" fillId="33" borderId="0" xfId="0" applyFont="1" applyFill="1" applyBorder="1" applyAlignment="1">
      <alignment horizontal="left"/>
    </xf>
    <xf numFmtId="2" fontId="0" fillId="34" borderId="19" xfId="53" applyNumberFormat="1" applyFont="1" applyFill="1" applyBorder="1" applyAlignment="1">
      <alignment horizontal="center" vertical="top"/>
      <protection/>
    </xf>
    <xf numFmtId="0" fontId="0" fillId="34" borderId="0" xfId="0" applyFont="1" applyFill="1" applyAlignment="1">
      <alignment/>
    </xf>
    <xf numFmtId="2" fontId="0" fillId="35" borderId="19" xfId="0" applyNumberFormat="1" applyFont="1" applyFill="1" applyBorder="1" applyAlignment="1">
      <alignment horizontal="center" vertical="top"/>
    </xf>
    <xf numFmtId="1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center"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0" applyNumberFormat="1" applyFont="1" applyFill="1" applyBorder="1" applyAlignment="1">
      <alignment horizontal="center" vertical="center"/>
    </xf>
    <xf numFmtId="2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2" fontId="3" fillId="33" borderId="1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0" xfId="63" applyNumberFormat="1" applyFont="1" applyFill="1">
      <alignment/>
      <protection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2" fontId="3" fillId="36" borderId="16" xfId="0" applyNumberFormat="1" applyFont="1" applyFill="1" applyBorder="1" applyAlignment="1">
      <alignment horizontal="left"/>
    </xf>
    <xf numFmtId="2" fontId="0" fillId="0" borderId="19" xfId="53" applyNumberFormat="1" applyFont="1" applyFill="1" applyBorder="1" applyAlignment="1">
      <alignment horizontal="center" vertical="top"/>
      <protection/>
    </xf>
    <xf numFmtId="1" fontId="0" fillId="0" borderId="19" xfId="53" applyNumberFormat="1" applyFont="1" applyFill="1" applyBorder="1" applyAlignment="1">
      <alignment horizontal="center" vertical="center"/>
      <protection/>
    </xf>
    <xf numFmtId="1" fontId="0" fillId="0" borderId="19" xfId="53" applyNumberFormat="1" applyFont="1" applyFill="1" applyBorder="1" applyAlignment="1">
      <alignment horizontal="center" vertical="top"/>
      <protection/>
    </xf>
    <xf numFmtId="0" fontId="3" fillId="36" borderId="15" xfId="0" applyFont="1" applyFill="1" applyBorder="1" applyAlignment="1">
      <alignment horizontal="left"/>
    </xf>
    <xf numFmtId="193" fontId="3" fillId="33" borderId="15" xfId="63" applyNumberFormat="1" applyFont="1" applyFill="1" applyBorder="1">
      <alignment/>
      <protection/>
    </xf>
    <xf numFmtId="193" fontId="3" fillId="33" borderId="16" xfId="63" applyNumberFormat="1" applyFont="1" applyFill="1" applyBorder="1">
      <alignment/>
      <protection/>
    </xf>
    <xf numFmtId="2" fontId="3" fillId="36" borderId="0" xfId="0" applyNumberFormat="1" applyFont="1" applyFill="1" applyBorder="1" applyAlignment="1">
      <alignment horizontal="left"/>
    </xf>
    <xf numFmtId="193" fontId="3" fillId="33" borderId="15" xfId="0" applyNumberFormat="1" applyFont="1" applyFill="1" applyBorder="1" applyAlignment="1">
      <alignment horizontal="center" vertical="top"/>
    </xf>
    <xf numFmtId="193" fontId="3" fillId="33" borderId="16" xfId="0" applyNumberFormat="1" applyFont="1" applyFill="1" applyBorder="1" applyAlignment="1">
      <alignment horizontal="center" vertical="top"/>
    </xf>
    <xf numFmtId="2" fontId="3" fillId="33" borderId="15" xfId="0" applyNumberFormat="1" applyFont="1" applyFill="1" applyBorder="1" applyAlignment="1">
      <alignment horizontal="left"/>
    </xf>
    <xf numFmtId="2" fontId="3" fillId="36" borderId="15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top" wrapTex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1" fontId="0" fillId="37" borderId="12" xfId="53" applyNumberFormat="1" applyFont="1" applyFill="1" applyBorder="1" applyAlignment="1">
      <alignment horizontal="center" vertical="center"/>
      <protection/>
    </xf>
    <xf numFmtId="2" fontId="0" fillId="37" borderId="12" xfId="53" applyNumberFormat="1" applyFont="1" applyFill="1" applyBorder="1" applyAlignment="1">
      <alignment horizontal="center" vertical="center"/>
      <protection/>
    </xf>
    <xf numFmtId="0" fontId="0" fillId="37" borderId="12" xfId="53" applyNumberFormat="1" applyFont="1" applyFill="1" applyBorder="1" applyAlignment="1">
      <alignment horizontal="center" vertical="center"/>
      <protection/>
    </xf>
    <xf numFmtId="182" fontId="0" fillId="37" borderId="12" xfId="53" applyNumberFormat="1" applyFont="1" applyFill="1" applyBorder="1" applyAlignment="1">
      <alignment horizontal="center" vertical="center"/>
      <protection/>
    </xf>
    <xf numFmtId="184" fontId="0" fillId="37" borderId="12" xfId="53" applyNumberFormat="1" applyFont="1" applyFill="1" applyBorder="1" applyAlignment="1">
      <alignment horizontal="center" vertical="center"/>
      <protection/>
    </xf>
    <xf numFmtId="1" fontId="49" fillId="37" borderId="12" xfId="53" applyNumberFormat="1" applyFont="1" applyFill="1" applyBorder="1" applyAlignment="1">
      <alignment horizontal="center" vertical="center"/>
      <protection/>
    </xf>
    <xf numFmtId="1" fontId="0" fillId="37" borderId="12" xfId="53" applyNumberFormat="1" applyFont="1" applyFill="1" applyBorder="1" applyAlignment="1">
      <alignment horizontal="center" vertical="top"/>
      <protection/>
    </xf>
    <xf numFmtId="2" fontId="0" fillId="37" borderId="12" xfId="53" applyNumberFormat="1" applyFont="1" applyFill="1" applyBorder="1" applyAlignment="1">
      <alignment horizontal="center" vertical="top"/>
      <protection/>
    </xf>
    <xf numFmtId="0" fontId="0" fillId="37" borderId="12" xfId="53" applyNumberFormat="1" applyFont="1" applyFill="1" applyBorder="1" applyAlignment="1">
      <alignment horizontal="center" vertical="top"/>
      <protection/>
    </xf>
    <xf numFmtId="182" fontId="0" fillId="37" borderId="12" xfId="53" applyNumberFormat="1" applyFont="1" applyFill="1" applyBorder="1" applyAlignment="1">
      <alignment horizontal="center" vertical="top"/>
      <protection/>
    </xf>
    <xf numFmtId="184" fontId="0" fillId="37" borderId="12" xfId="53" applyNumberFormat="1" applyFont="1" applyFill="1" applyBorder="1" applyAlignment="1">
      <alignment horizontal="center" vertical="top"/>
      <protection/>
    </xf>
    <xf numFmtId="1" fontId="6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center"/>
    </xf>
    <xf numFmtId="184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top"/>
    </xf>
    <xf numFmtId="182" fontId="0" fillId="34" borderId="19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34" borderId="19" xfId="53" applyNumberFormat="1" applyFont="1" applyFill="1" applyBorder="1" applyAlignment="1">
      <alignment horizontal="center" vertical="center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2" fontId="3" fillId="34" borderId="20" xfId="0" applyNumberFormat="1" applyFont="1" applyFill="1" applyBorder="1" applyAlignment="1">
      <alignment/>
    </xf>
    <xf numFmtId="2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center"/>
      <protection/>
    </xf>
    <xf numFmtId="184" fontId="3" fillId="33" borderId="12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3" fillId="33" borderId="22" xfId="0" applyFont="1" applyFill="1" applyBorder="1" applyAlignment="1">
      <alignment horizontal="left" indent="1"/>
    </xf>
    <xf numFmtId="0" fontId="3" fillId="33" borderId="23" xfId="0" applyFont="1" applyFill="1" applyBorder="1" applyAlignment="1">
      <alignment horizontal="left" indent="1"/>
    </xf>
    <xf numFmtId="0" fontId="3" fillId="33" borderId="24" xfId="0" applyFont="1" applyFill="1" applyBorder="1" applyAlignment="1">
      <alignment horizontal="left" indent="1"/>
    </xf>
    <xf numFmtId="0" fontId="0" fillId="34" borderId="25" xfId="53" applyNumberFormat="1" applyFont="1" applyFill="1" applyBorder="1" applyAlignment="1">
      <alignment horizontal="left" vertical="center" wrapText="1"/>
      <protection/>
    </xf>
    <xf numFmtId="0" fontId="0" fillId="34" borderId="26" xfId="53" applyNumberFormat="1" applyFont="1" applyFill="1" applyBorder="1" applyAlignment="1">
      <alignment horizontal="left" vertical="center" wrapText="1"/>
      <protection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3" fillId="33" borderId="27" xfId="0" applyNumberFormat="1" applyFont="1" applyFill="1" applyBorder="1" applyAlignment="1">
      <alignment horizontal="right"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0" fillId="33" borderId="27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28" xfId="0" applyNumberFormat="1" applyFont="1" applyFill="1" applyBorder="1" applyAlignment="1">
      <alignment horizontal="center" vertical="center" wrapText="1"/>
    </xf>
    <xf numFmtId="0" fontId="0" fillId="33" borderId="29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4" xfId="53" applyNumberFormat="1" applyFont="1" applyFill="1" applyBorder="1" applyAlignment="1">
      <alignment horizontal="left" vertical="center" wrapText="1"/>
      <protection/>
    </xf>
    <xf numFmtId="0" fontId="0" fillId="37" borderId="16" xfId="53" applyNumberFormat="1" applyFont="1" applyFill="1" applyBorder="1" applyAlignment="1">
      <alignment horizontal="left" vertical="center" wrapText="1"/>
      <protection/>
    </xf>
    <xf numFmtId="2" fontId="0" fillId="34" borderId="31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3" borderId="22" xfId="0" applyNumberFormat="1" applyFont="1" applyFill="1" applyBorder="1" applyAlignment="1">
      <alignment horizontal="left" vertical="center" wrapText="1"/>
    </xf>
    <xf numFmtId="0" fontId="0" fillId="33" borderId="24" xfId="0" applyNumberFormat="1" applyFont="1" applyFill="1" applyBorder="1" applyAlignment="1">
      <alignment horizontal="left" vertical="center" wrapText="1"/>
    </xf>
    <xf numFmtId="0" fontId="0" fillId="0" borderId="19" xfId="53" applyNumberFormat="1" applyFont="1" applyFill="1" applyBorder="1" applyAlignment="1">
      <alignment horizontal="left" vertical="center" wrapText="1"/>
      <protection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right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0" fontId="0" fillId="34" borderId="31" xfId="0" applyNumberFormat="1" applyFont="1" applyFill="1" applyBorder="1" applyAlignment="1">
      <alignment horizontal="left" vertical="center" wrapText="1"/>
    </xf>
    <xf numFmtId="0" fontId="0" fillId="34" borderId="20" xfId="0" applyNumberFormat="1" applyFont="1" applyFill="1" applyBorder="1" applyAlignment="1">
      <alignment horizontal="left" vertical="center" wrapText="1"/>
    </xf>
    <xf numFmtId="0" fontId="0" fillId="37" borderId="15" xfId="53" applyNumberFormat="1" applyFont="1" applyFill="1" applyBorder="1" applyAlignment="1">
      <alignment horizontal="left" vertical="center" wrapText="1"/>
      <protection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left" indent="1"/>
    </xf>
    <xf numFmtId="0" fontId="0" fillId="34" borderId="31" xfId="53" applyNumberFormat="1" applyFont="1" applyFill="1" applyBorder="1" applyAlignment="1">
      <alignment horizontal="left" vertical="center" wrapText="1"/>
      <protection/>
    </xf>
    <xf numFmtId="0" fontId="0" fillId="34" borderId="20" xfId="53" applyNumberFormat="1" applyFont="1" applyFill="1" applyBorder="1" applyAlignment="1">
      <alignment horizontal="left" vertical="center" wrapText="1"/>
      <protection/>
    </xf>
    <xf numFmtId="0" fontId="6" fillId="33" borderId="14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0" fillId="33" borderId="17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2" fontId="0" fillId="34" borderId="19" xfId="53" applyNumberFormat="1" applyFont="1" applyFill="1" applyBorder="1" applyAlignment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58"/>
  <sheetViews>
    <sheetView tabSelected="1" view="pageBreakPreview" zoomScale="80" zoomScaleNormal="80" zoomScaleSheetLayoutView="80" workbookViewId="0" topLeftCell="A326">
      <selection activeCell="A299" sqref="A299:T299"/>
    </sheetView>
  </sheetViews>
  <sheetFormatPr defaultColWidth="9.33203125" defaultRowHeight="11.25"/>
  <cols>
    <col min="1" max="1" width="9.5" style="56" customWidth="1"/>
    <col min="2" max="2" width="16.33203125" style="56" customWidth="1"/>
    <col min="3" max="3" width="25.16015625" style="56" customWidth="1"/>
    <col min="4" max="4" width="8" style="5" customWidth="1"/>
    <col min="5" max="5" width="9.66015625" style="5" customWidth="1"/>
    <col min="6" max="6" width="9.83203125" style="105" customWidth="1"/>
    <col min="7" max="7" width="9.66015625" style="5" customWidth="1"/>
    <col min="8" max="8" width="8.5" style="5" customWidth="1"/>
    <col min="9" max="9" width="10" style="5" customWidth="1"/>
    <col min="10" max="10" width="9" style="5" customWidth="1"/>
    <col min="11" max="11" width="9.83203125" style="5" customWidth="1"/>
    <col min="12" max="12" width="8.83203125" style="5" customWidth="1"/>
    <col min="13" max="13" width="10.33203125" style="5" customWidth="1"/>
    <col min="14" max="14" width="9.5" style="5" customWidth="1"/>
    <col min="15" max="15" width="9.33203125" style="5" customWidth="1"/>
    <col min="16" max="17" width="9.16015625" style="5" customWidth="1"/>
    <col min="18" max="18" width="9" style="5" customWidth="1"/>
    <col min="19" max="19" width="9.5" style="5" customWidth="1"/>
    <col min="20" max="20" width="8.66015625" style="5" customWidth="1"/>
    <col min="21" max="21" width="9.16015625" style="18" customWidth="1"/>
    <col min="22" max="23" width="9.16015625" style="27" customWidth="1"/>
    <col min="24" max="24" width="11.66015625" style="27" customWidth="1"/>
  </cols>
  <sheetData>
    <row r="1" spans="1:24" s="1" customFormat="1" ht="11.25" customHeight="1">
      <c r="A1" s="57"/>
      <c r="B1" s="54"/>
      <c r="C1" s="54"/>
      <c r="D1" s="71"/>
      <c r="E1" s="71"/>
      <c r="F1" s="34"/>
      <c r="G1" s="71"/>
      <c r="H1" s="71"/>
      <c r="I1" s="71"/>
      <c r="J1" s="71"/>
      <c r="K1" s="71"/>
      <c r="L1" s="2"/>
      <c r="M1" s="269" t="s">
        <v>66</v>
      </c>
      <c r="N1" s="269"/>
      <c r="O1" s="269"/>
      <c r="P1" s="269"/>
      <c r="Q1" s="269"/>
      <c r="R1" s="269"/>
      <c r="S1" s="269"/>
      <c r="T1" s="269"/>
      <c r="U1" s="284"/>
      <c r="V1" s="281"/>
      <c r="W1" s="114"/>
      <c r="X1" s="281"/>
    </row>
    <row r="2" spans="1:24" s="1" customFormat="1" ht="15.75" customHeight="1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5"/>
      <c r="V2" s="281"/>
      <c r="W2" s="114"/>
      <c r="X2" s="281"/>
    </row>
    <row r="3" spans="1:24" s="1" customFormat="1" ht="11.25" customHeight="1">
      <c r="A3" s="58" t="s">
        <v>55</v>
      </c>
      <c r="B3" s="54"/>
      <c r="C3" s="54"/>
      <c r="D3" s="2"/>
      <c r="E3" s="2"/>
      <c r="F3" s="34"/>
      <c r="G3" s="240" t="s">
        <v>1</v>
      </c>
      <c r="H3" s="240"/>
      <c r="I3" s="240"/>
      <c r="J3" s="71"/>
      <c r="K3" s="71"/>
      <c r="L3" s="247" t="s">
        <v>2</v>
      </c>
      <c r="M3" s="247"/>
      <c r="N3" s="256"/>
      <c r="O3" s="256"/>
      <c r="P3" s="256"/>
      <c r="Q3" s="256"/>
      <c r="R3" s="71"/>
      <c r="S3" s="71"/>
      <c r="T3" s="71"/>
      <c r="U3" s="285"/>
      <c r="V3" s="281"/>
      <c r="W3" s="114"/>
      <c r="X3" s="281"/>
    </row>
    <row r="4" spans="1:24" s="1" customFormat="1" ht="11.25" customHeight="1">
      <c r="A4" s="54"/>
      <c r="B4" s="54"/>
      <c r="C4" s="54"/>
      <c r="D4" s="247" t="s">
        <v>3</v>
      </c>
      <c r="E4" s="247"/>
      <c r="F4" s="247"/>
      <c r="G4" s="7">
        <v>1</v>
      </c>
      <c r="H4" s="71"/>
      <c r="I4" s="2"/>
      <c r="J4" s="2"/>
      <c r="K4" s="2"/>
      <c r="L4" s="247" t="s">
        <v>4</v>
      </c>
      <c r="M4" s="247"/>
      <c r="N4" s="240" t="s">
        <v>131</v>
      </c>
      <c r="O4" s="240"/>
      <c r="P4" s="240"/>
      <c r="Q4" s="240"/>
      <c r="R4" s="240"/>
      <c r="S4" s="240"/>
      <c r="T4" s="240"/>
      <c r="U4" s="286"/>
      <c r="V4" s="282"/>
      <c r="W4" s="114"/>
      <c r="X4" s="281"/>
    </row>
    <row r="5" spans="1:24" s="1" customFormat="1" ht="21.75" customHeight="1">
      <c r="A5" s="241" t="s">
        <v>5</v>
      </c>
      <c r="B5" s="243" t="s">
        <v>6</v>
      </c>
      <c r="C5" s="244"/>
      <c r="D5" s="241" t="s">
        <v>7</v>
      </c>
      <c r="E5" s="183"/>
      <c r="F5" s="248" t="s">
        <v>8</v>
      </c>
      <c r="G5" s="249"/>
      <c r="H5" s="250"/>
      <c r="I5" s="241" t="s">
        <v>9</v>
      </c>
      <c r="J5" s="248" t="s">
        <v>10</v>
      </c>
      <c r="K5" s="249"/>
      <c r="L5" s="249"/>
      <c r="M5" s="249"/>
      <c r="N5" s="250"/>
      <c r="O5" s="248" t="s">
        <v>11</v>
      </c>
      <c r="P5" s="249"/>
      <c r="Q5" s="249"/>
      <c r="R5" s="249"/>
      <c r="S5" s="249"/>
      <c r="T5" s="250"/>
      <c r="U5" s="9"/>
      <c r="V5" s="22"/>
      <c r="W5" s="22"/>
      <c r="X5" s="22"/>
    </row>
    <row r="6" spans="1:24" s="1" customFormat="1" ht="21" customHeight="1">
      <c r="A6" s="242"/>
      <c r="B6" s="245"/>
      <c r="C6" s="246"/>
      <c r="D6" s="242"/>
      <c r="E6" s="176"/>
      <c r="F6" s="100" t="s">
        <v>12</v>
      </c>
      <c r="G6" s="177" t="s">
        <v>13</v>
      </c>
      <c r="H6" s="177" t="s">
        <v>14</v>
      </c>
      <c r="I6" s="242"/>
      <c r="J6" s="177" t="s">
        <v>15</v>
      </c>
      <c r="K6" s="177" t="s">
        <v>58</v>
      </c>
      <c r="L6" s="177" t="s">
        <v>16</v>
      </c>
      <c r="M6" s="177" t="s">
        <v>17</v>
      </c>
      <c r="N6" s="177" t="s">
        <v>18</v>
      </c>
      <c r="O6" s="177" t="s">
        <v>19</v>
      </c>
      <c r="P6" s="177" t="s">
        <v>20</v>
      </c>
      <c r="Q6" s="177" t="s">
        <v>59</v>
      </c>
      <c r="R6" s="177" t="s">
        <v>60</v>
      </c>
      <c r="S6" s="177" t="s">
        <v>21</v>
      </c>
      <c r="T6" s="177" t="s">
        <v>22</v>
      </c>
      <c r="U6" s="9"/>
      <c r="V6" s="22"/>
      <c r="W6" s="22"/>
      <c r="X6" s="22"/>
    </row>
    <row r="7" spans="1:24" s="1" customFormat="1" ht="11.25" customHeight="1">
      <c r="A7" s="182">
        <v>1</v>
      </c>
      <c r="B7" s="257">
        <v>2</v>
      </c>
      <c r="C7" s="258"/>
      <c r="D7" s="37">
        <v>3</v>
      </c>
      <c r="E7" s="37"/>
      <c r="F7" s="101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10"/>
      <c r="V7" s="23"/>
      <c r="W7" s="23"/>
      <c r="X7" s="23"/>
    </row>
    <row r="8" spans="1:24" s="1" customFormat="1" ht="11.25" customHeight="1">
      <c r="A8" s="232" t="s">
        <v>23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4"/>
      <c r="U8" s="11"/>
      <c r="V8" s="24"/>
      <c r="W8" s="24"/>
      <c r="X8" s="24"/>
    </row>
    <row r="9" spans="1:24" s="140" customFormat="1" ht="20.25" customHeight="1">
      <c r="A9" s="67">
        <v>71</v>
      </c>
      <c r="B9" s="221" t="s">
        <v>65</v>
      </c>
      <c r="C9" s="222"/>
      <c r="D9" s="79">
        <v>40</v>
      </c>
      <c r="E9" s="79">
        <v>9.24</v>
      </c>
      <c r="F9" s="178">
        <f>0.5*D9/60</f>
        <v>0.3333333333333333</v>
      </c>
      <c r="G9" s="178">
        <f>0.03*D9/30</f>
        <v>0.04</v>
      </c>
      <c r="H9" s="178">
        <f>1.7*D9/60</f>
        <v>1.1333333333333333</v>
      </c>
      <c r="I9" s="178">
        <f>F9*4+G9*9+H9*4</f>
        <v>6.226666666666667</v>
      </c>
      <c r="J9" s="80">
        <v>0.009</v>
      </c>
      <c r="K9" s="178">
        <v>0.01</v>
      </c>
      <c r="L9" s="81">
        <v>3</v>
      </c>
      <c r="M9" s="80">
        <v>0.003</v>
      </c>
      <c r="N9" s="79">
        <v>0.03</v>
      </c>
      <c r="O9" s="178">
        <v>6.9</v>
      </c>
      <c r="P9" s="178">
        <v>12.6</v>
      </c>
      <c r="Q9" s="80">
        <v>0.064</v>
      </c>
      <c r="R9" s="80">
        <v>0.001</v>
      </c>
      <c r="S9" s="178">
        <v>4.2</v>
      </c>
      <c r="T9" s="178">
        <v>0.18</v>
      </c>
      <c r="U9" s="32"/>
      <c r="V9" s="33"/>
      <c r="W9" s="33"/>
      <c r="X9" s="33"/>
    </row>
    <row r="10" spans="1:24" s="140" customFormat="1" ht="22.5" customHeight="1">
      <c r="A10" s="133">
        <v>591</v>
      </c>
      <c r="B10" s="277" t="s">
        <v>111</v>
      </c>
      <c r="C10" s="278"/>
      <c r="D10" s="134">
        <v>120</v>
      </c>
      <c r="E10" s="128">
        <v>45.68</v>
      </c>
      <c r="F10" s="128">
        <v>5.86</v>
      </c>
      <c r="G10" s="128">
        <v>16.31</v>
      </c>
      <c r="H10" s="128">
        <v>3.07</v>
      </c>
      <c r="I10" s="128">
        <v>182.51</v>
      </c>
      <c r="J10" s="128">
        <v>0.14</v>
      </c>
      <c r="K10" s="128">
        <v>0.05</v>
      </c>
      <c r="L10" s="128">
        <v>0.09</v>
      </c>
      <c r="M10" s="128">
        <v>0</v>
      </c>
      <c r="N10" s="128">
        <v>0</v>
      </c>
      <c r="O10" s="128">
        <v>9.54</v>
      </c>
      <c r="P10" s="128">
        <v>63.38</v>
      </c>
      <c r="Q10" s="128">
        <v>1.12</v>
      </c>
      <c r="R10" s="128">
        <v>2.55</v>
      </c>
      <c r="S10" s="128">
        <v>11.3</v>
      </c>
      <c r="T10" s="128">
        <v>0.75</v>
      </c>
      <c r="U10" s="150"/>
      <c r="V10" s="151"/>
      <c r="W10" s="151"/>
      <c r="X10" s="151"/>
    </row>
    <row r="11" spans="1:24" s="140" customFormat="1" ht="24" customHeight="1">
      <c r="A11" s="182">
        <v>203</v>
      </c>
      <c r="B11" s="221" t="s">
        <v>81</v>
      </c>
      <c r="C11" s="222"/>
      <c r="D11" s="147">
        <v>180</v>
      </c>
      <c r="E11" s="148">
        <v>8.37</v>
      </c>
      <c r="F11" s="148">
        <f>5.7*D11/150</f>
        <v>6.84</v>
      </c>
      <c r="G11" s="148">
        <f>3.43*D11/150</f>
        <v>4.116</v>
      </c>
      <c r="H11" s="148">
        <f>36.45*D11/150</f>
        <v>43.74000000000001</v>
      </c>
      <c r="I11" s="148">
        <f>F11*4+G11*9+H11*4</f>
        <v>239.36400000000003</v>
      </c>
      <c r="J11" s="148">
        <f>0.09*D11/150</f>
        <v>0.108</v>
      </c>
      <c r="K11" s="148">
        <f>0.03*D11/150</f>
        <v>0.036</v>
      </c>
      <c r="L11" s="148">
        <v>0</v>
      </c>
      <c r="M11" s="149">
        <f>0.03*D11/150</f>
        <v>0.036</v>
      </c>
      <c r="N11" s="148">
        <f>1.25*D11/150</f>
        <v>1.5</v>
      </c>
      <c r="O11" s="148">
        <f>13.28*D11/150</f>
        <v>15.936</v>
      </c>
      <c r="P11" s="148">
        <f>46.21*D11/150</f>
        <v>55.452</v>
      </c>
      <c r="Q11" s="148">
        <f>0.78*D11/150</f>
        <v>0.936</v>
      </c>
      <c r="R11" s="149">
        <f>0.0015*D11/150</f>
        <v>0.0018000000000000002</v>
      </c>
      <c r="S11" s="148">
        <f>8.47*D11/150</f>
        <v>10.164000000000001</v>
      </c>
      <c r="T11" s="148">
        <f>0.86*D11/150</f>
        <v>1.032</v>
      </c>
      <c r="U11" s="150"/>
      <c r="V11" s="151"/>
      <c r="W11" s="151"/>
      <c r="X11" s="151"/>
    </row>
    <row r="12" spans="1:24" s="140" customFormat="1" ht="12.75" customHeight="1">
      <c r="A12" s="182">
        <v>377</v>
      </c>
      <c r="B12" s="255" t="s">
        <v>45</v>
      </c>
      <c r="C12" s="255"/>
      <c r="D12" s="147">
        <v>200</v>
      </c>
      <c r="E12" s="148">
        <v>3.61</v>
      </c>
      <c r="F12" s="148">
        <v>0.26</v>
      </c>
      <c r="G12" s="148">
        <v>0.06</v>
      </c>
      <c r="H12" s="148">
        <v>15.22</v>
      </c>
      <c r="I12" s="148">
        <f>F12*4+G12*9+H12*4</f>
        <v>62.46</v>
      </c>
      <c r="J12" s="148"/>
      <c r="K12" s="148">
        <v>0.01</v>
      </c>
      <c r="L12" s="148">
        <v>2.9</v>
      </c>
      <c r="M12" s="145">
        <v>0</v>
      </c>
      <c r="N12" s="148">
        <v>0.06</v>
      </c>
      <c r="O12" s="148">
        <v>8.05</v>
      </c>
      <c r="P12" s="148">
        <v>9.78</v>
      </c>
      <c r="Q12" s="148">
        <v>0.017</v>
      </c>
      <c r="R12" s="149">
        <v>0</v>
      </c>
      <c r="S12" s="148">
        <v>5.24</v>
      </c>
      <c r="T12" s="148">
        <v>0.87</v>
      </c>
      <c r="U12" s="150"/>
      <c r="V12" s="151"/>
      <c r="W12" s="151"/>
      <c r="X12" s="151"/>
    </row>
    <row r="13" spans="1:24" s="140" customFormat="1" ht="11.25" customHeight="1">
      <c r="A13" s="153" t="s">
        <v>67</v>
      </c>
      <c r="B13" s="221" t="s">
        <v>53</v>
      </c>
      <c r="C13" s="222"/>
      <c r="D13" s="147">
        <v>40</v>
      </c>
      <c r="E13" s="148">
        <v>3.1</v>
      </c>
      <c r="F13" s="148">
        <f>1.52*D13/30</f>
        <v>2.0266666666666664</v>
      </c>
      <c r="G13" s="149">
        <f>0.16*D13/30</f>
        <v>0.21333333333333335</v>
      </c>
      <c r="H13" s="149">
        <f>9.84*D13/30</f>
        <v>13.120000000000001</v>
      </c>
      <c r="I13" s="149">
        <f>F13*4+G13*9+H13*4</f>
        <v>62.50666666666667</v>
      </c>
      <c r="J13" s="149">
        <f>0.02*D13/30</f>
        <v>0.02666666666666667</v>
      </c>
      <c r="K13" s="149">
        <f>0.01*D13/30</f>
        <v>0.013333333333333334</v>
      </c>
      <c r="L13" s="149">
        <f>0.44*D13/30</f>
        <v>0.5866666666666667</v>
      </c>
      <c r="M13" s="149">
        <v>0</v>
      </c>
      <c r="N13" s="149">
        <f>0.7*D13/30</f>
        <v>0.9333333333333333</v>
      </c>
      <c r="O13" s="149">
        <f>4*D13/30</f>
        <v>5.333333333333333</v>
      </c>
      <c r="P13" s="149">
        <f>13*D13/30</f>
        <v>17.333333333333332</v>
      </c>
      <c r="Q13" s="149">
        <f>0.008*D13/30</f>
        <v>0.010666666666666666</v>
      </c>
      <c r="R13" s="149">
        <f>0.001*D13/30</f>
        <v>0.0013333333333333333</v>
      </c>
      <c r="S13" s="149">
        <v>0</v>
      </c>
      <c r="T13" s="149">
        <f>0.22*D13/30</f>
        <v>0.29333333333333333</v>
      </c>
      <c r="U13" s="150"/>
      <c r="V13" s="151"/>
      <c r="W13" s="151"/>
      <c r="X13" s="151"/>
    </row>
    <row r="14" spans="1:24" s="140" customFormat="1" ht="11.25" customHeight="1">
      <c r="A14" s="61" t="s">
        <v>25</v>
      </c>
      <c r="B14" s="62"/>
      <c r="C14" s="62"/>
      <c r="D14" s="60">
        <f aca="true" t="shared" si="0" ref="D14:J14">SUM(D9:D13)</f>
        <v>580</v>
      </c>
      <c r="E14" s="154">
        <f t="shared" si="0"/>
        <v>70</v>
      </c>
      <c r="F14" s="39">
        <f t="shared" si="0"/>
        <v>15.32</v>
      </c>
      <c r="G14" s="38">
        <f t="shared" si="0"/>
        <v>20.73933333333333</v>
      </c>
      <c r="H14" s="38">
        <f t="shared" si="0"/>
        <v>76.28333333333335</v>
      </c>
      <c r="I14" s="38">
        <f t="shared" si="0"/>
        <v>553.0673333333334</v>
      </c>
      <c r="J14" s="39">
        <f t="shared" si="0"/>
        <v>0.2836666666666667</v>
      </c>
      <c r="K14" s="39">
        <f aca="true" t="shared" si="1" ref="K14:T14">SUM(K9:K13)</f>
        <v>0.11933333333333333</v>
      </c>
      <c r="L14" s="39">
        <f t="shared" si="1"/>
        <v>6.576666666666667</v>
      </c>
      <c r="M14" s="40">
        <f t="shared" si="1"/>
        <v>0.039</v>
      </c>
      <c r="N14" s="39">
        <f t="shared" si="1"/>
        <v>2.5233333333333334</v>
      </c>
      <c r="O14" s="38">
        <f t="shared" si="1"/>
        <v>45.75933333333334</v>
      </c>
      <c r="P14" s="38">
        <f t="shared" si="1"/>
        <v>158.54533333333336</v>
      </c>
      <c r="Q14" s="39">
        <f t="shared" si="1"/>
        <v>2.147666666666667</v>
      </c>
      <c r="R14" s="40">
        <f t="shared" si="1"/>
        <v>2.5541333333333327</v>
      </c>
      <c r="S14" s="38">
        <f t="shared" si="1"/>
        <v>30.904000000000003</v>
      </c>
      <c r="T14" s="39">
        <f t="shared" si="1"/>
        <v>3.1253333333333333</v>
      </c>
      <c r="U14" s="38"/>
      <c r="V14" s="142"/>
      <c r="W14" s="142"/>
      <c r="X14" s="142"/>
    </row>
    <row r="15" spans="1:24" s="140" customFormat="1" ht="11.25" customHeight="1">
      <c r="A15" s="229" t="s">
        <v>63</v>
      </c>
      <c r="B15" s="230"/>
      <c r="C15" s="230"/>
      <c r="D15" s="231"/>
      <c r="E15" s="180"/>
      <c r="F15" s="155">
        <f aca="true" t="shared" si="2" ref="F15:T15">F14/F36</f>
        <v>0.17022222222222222</v>
      </c>
      <c r="G15" s="76">
        <f t="shared" si="2"/>
        <v>0.22542753623188402</v>
      </c>
      <c r="H15" s="76">
        <f t="shared" si="2"/>
        <v>0.1991731940818103</v>
      </c>
      <c r="I15" s="76">
        <f t="shared" si="2"/>
        <v>0.20333357843137256</v>
      </c>
      <c r="J15" s="76">
        <f t="shared" si="2"/>
        <v>0.20261904761904764</v>
      </c>
      <c r="K15" s="76">
        <f t="shared" si="2"/>
        <v>0.07458333333333333</v>
      </c>
      <c r="L15" s="76">
        <f t="shared" si="2"/>
        <v>0.09395238095238095</v>
      </c>
      <c r="M15" s="76">
        <f t="shared" si="2"/>
        <v>0.043333333333333335</v>
      </c>
      <c r="N15" s="76">
        <f t="shared" si="2"/>
        <v>0.21027777777777779</v>
      </c>
      <c r="O15" s="44">
        <f t="shared" si="2"/>
        <v>0.03813277777777778</v>
      </c>
      <c r="P15" s="76">
        <f t="shared" si="2"/>
        <v>0.13212111111111113</v>
      </c>
      <c r="Q15" s="76">
        <f t="shared" si="2"/>
        <v>0.1534047619047619</v>
      </c>
      <c r="R15" s="76">
        <f t="shared" si="2"/>
        <v>25.541333333333327</v>
      </c>
      <c r="S15" s="76">
        <f t="shared" si="2"/>
        <v>0.10301333333333335</v>
      </c>
      <c r="T15" s="44">
        <f t="shared" si="2"/>
        <v>0.17362962962962963</v>
      </c>
      <c r="U15" s="144"/>
      <c r="V15" s="142"/>
      <c r="W15" s="142"/>
      <c r="X15" s="142"/>
    </row>
    <row r="16" spans="1:20" s="129" customFormat="1" ht="14.25" customHeight="1">
      <c r="A16" s="207" t="s">
        <v>67</v>
      </c>
      <c r="B16" s="291" t="s">
        <v>123</v>
      </c>
      <c r="C16" s="291"/>
      <c r="D16" s="208">
        <v>200</v>
      </c>
      <c r="E16" s="209"/>
      <c r="F16" s="210">
        <v>5.6</v>
      </c>
      <c r="G16" s="210">
        <v>6.4</v>
      </c>
      <c r="H16" s="210">
        <v>9.4</v>
      </c>
      <c r="I16" s="210">
        <v>117.6</v>
      </c>
      <c r="J16" s="210">
        <v>0.08</v>
      </c>
      <c r="K16" s="210">
        <v>0.307</v>
      </c>
      <c r="L16" s="210">
        <v>2.6</v>
      </c>
      <c r="M16" s="210">
        <v>0.067</v>
      </c>
      <c r="N16" s="210">
        <v>0.292</v>
      </c>
      <c r="O16" s="210">
        <v>240</v>
      </c>
      <c r="P16" s="210">
        <v>180</v>
      </c>
      <c r="Q16" s="210">
        <v>0.8</v>
      </c>
      <c r="R16" s="210">
        <v>0.018</v>
      </c>
      <c r="S16" s="210">
        <v>28</v>
      </c>
      <c r="T16" s="210">
        <v>0.12</v>
      </c>
    </row>
    <row r="17" spans="1:24" s="140" customFormat="1" ht="11.25" customHeight="1" hidden="1">
      <c r="A17" s="179"/>
      <c r="B17" s="180"/>
      <c r="C17" s="180"/>
      <c r="D17" s="180"/>
      <c r="E17" s="171">
        <f>70-E14</f>
        <v>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68"/>
      <c r="P17" s="155"/>
      <c r="Q17" s="155"/>
      <c r="R17" s="155"/>
      <c r="S17" s="155"/>
      <c r="T17" s="169"/>
      <c r="U17" s="144"/>
      <c r="V17" s="142"/>
      <c r="W17" s="142"/>
      <c r="X17" s="142"/>
    </row>
    <row r="18" spans="1:24" s="140" customFormat="1" ht="11.25" customHeight="1">
      <c r="A18" s="232" t="s">
        <v>28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4"/>
      <c r="U18" s="11"/>
      <c r="V18" s="24"/>
      <c r="W18" s="24"/>
      <c r="X18" s="24"/>
    </row>
    <row r="19" spans="1:24" s="140" customFormat="1" ht="22.5" customHeight="1">
      <c r="A19" s="85" t="s">
        <v>94</v>
      </c>
      <c r="B19" s="279" t="s">
        <v>90</v>
      </c>
      <c r="C19" s="280"/>
      <c r="D19" s="85"/>
      <c r="E19" s="85"/>
      <c r="F19" s="92">
        <f>0.94*D19/60</f>
        <v>0</v>
      </c>
      <c r="G19" s="92">
        <f>7.22*D19/60</f>
        <v>0</v>
      </c>
      <c r="H19" s="92">
        <f>5.27*D19/60</f>
        <v>0</v>
      </c>
      <c r="I19" s="148">
        <f>F19*4+G19*9+H19*4</f>
        <v>0</v>
      </c>
      <c r="J19" s="85">
        <f>0.03*D19/60</f>
        <v>0</v>
      </c>
      <c r="K19" s="85">
        <f>0.03*D19/60</f>
        <v>0</v>
      </c>
      <c r="L19" s="85">
        <f>12.4*D19/60</f>
        <v>0</v>
      </c>
      <c r="M19" s="91">
        <f>0.001*D19/60</f>
        <v>0</v>
      </c>
      <c r="N19" s="85">
        <f>1.5*D19/60</f>
        <v>0</v>
      </c>
      <c r="O19" s="92">
        <f>19.7*D19/60</f>
        <v>0</v>
      </c>
      <c r="P19" s="90">
        <f>20.31*D19/60</f>
        <v>0</v>
      </c>
      <c r="Q19" s="85">
        <f>0.3*D19/60</f>
        <v>0</v>
      </c>
      <c r="R19" s="91">
        <f>0.001*D19/60</f>
        <v>0</v>
      </c>
      <c r="S19" s="92">
        <f>9.98*D19/60</f>
        <v>0</v>
      </c>
      <c r="T19" s="91">
        <f>0.34*D19/60</f>
        <v>0</v>
      </c>
      <c r="U19" s="11"/>
      <c r="V19" s="24"/>
      <c r="W19" s="24"/>
      <c r="X19" s="24"/>
    </row>
    <row r="20" spans="1:24" s="140" customFormat="1" ht="22.5" customHeight="1">
      <c r="A20" s="182">
        <v>56</v>
      </c>
      <c r="B20" s="255" t="s">
        <v>115</v>
      </c>
      <c r="C20" s="255"/>
      <c r="D20" s="147">
        <v>100</v>
      </c>
      <c r="E20" s="148">
        <v>7.5</v>
      </c>
      <c r="F20" s="148">
        <f>0.9*D20/60</f>
        <v>1.5</v>
      </c>
      <c r="G20" s="146">
        <f>3.1*D20/60</f>
        <v>5.166666666666667</v>
      </c>
      <c r="H20" s="146">
        <f>5.6*D20/60</f>
        <v>9.333333333333334</v>
      </c>
      <c r="I20" s="148">
        <f>F20*4+G20*9+H20*4</f>
        <v>89.83333333333334</v>
      </c>
      <c r="J20" s="149">
        <f>0.1*D20/60</f>
        <v>0.16666666666666666</v>
      </c>
      <c r="K20" s="149">
        <f>0.1*D20/60</f>
        <v>0.16666666666666666</v>
      </c>
      <c r="L20" s="148">
        <f>12.3*D20/60</f>
        <v>20.5</v>
      </c>
      <c r="M20" s="149">
        <f>0.02*D20/60</f>
        <v>0.03333333333333333</v>
      </c>
      <c r="N20" s="149">
        <f>0.5*D20/60</f>
        <v>0.8333333333333334</v>
      </c>
      <c r="O20" s="146">
        <f>59.9*D20/60</f>
        <v>99.83333333333333</v>
      </c>
      <c r="P20" s="146">
        <f>31.3*D20/60</f>
        <v>52.166666666666664</v>
      </c>
      <c r="Q20" s="152">
        <f>0.4228*D20/60</f>
        <v>0.7046666666666667</v>
      </c>
      <c r="R20" s="149">
        <f>0.003*D20/60</f>
        <v>0.005</v>
      </c>
      <c r="S20" s="146">
        <f>16.3*D20/60</f>
        <v>27.166666666666668</v>
      </c>
      <c r="T20" s="148">
        <f>0.7*D20/60</f>
        <v>1.1666666666666667</v>
      </c>
      <c r="U20" s="150"/>
      <c r="V20" s="151"/>
      <c r="W20" s="151"/>
      <c r="X20" s="151"/>
    </row>
    <row r="21" spans="1:24" s="140" customFormat="1" ht="15" customHeight="1">
      <c r="A21" s="182">
        <v>96</v>
      </c>
      <c r="B21" s="221" t="s">
        <v>105</v>
      </c>
      <c r="C21" s="222"/>
      <c r="D21" s="147">
        <v>250</v>
      </c>
      <c r="E21" s="148">
        <v>13.85</v>
      </c>
      <c r="F21" s="148">
        <f>2.6*D21/250</f>
        <v>2.6</v>
      </c>
      <c r="G21" s="148">
        <f>6.13*D21/250</f>
        <v>6.13</v>
      </c>
      <c r="H21" s="148">
        <f>17.03*D21/250</f>
        <v>17.03</v>
      </c>
      <c r="I21" s="148">
        <f aca="true" t="shared" si="3" ref="I21:I26">F21*4+G21*9+H21*4</f>
        <v>133.69</v>
      </c>
      <c r="J21" s="148">
        <f>0.123*D21/250</f>
        <v>0.123</v>
      </c>
      <c r="K21" s="149">
        <f>0.074*D21/250</f>
        <v>0.074</v>
      </c>
      <c r="L21" s="146">
        <f>16.03*D21/250</f>
        <v>16.03</v>
      </c>
      <c r="M21" s="148">
        <f>0.035*D21/250</f>
        <v>0.035</v>
      </c>
      <c r="N21" s="145">
        <v>0</v>
      </c>
      <c r="O21" s="146">
        <f>25.3*D21/250</f>
        <v>25.3</v>
      </c>
      <c r="P21" s="146">
        <f>71.05*D21/250</f>
        <v>71.05</v>
      </c>
      <c r="Q21" s="147">
        <v>0</v>
      </c>
      <c r="R21" s="147">
        <v>0</v>
      </c>
      <c r="S21" s="146">
        <f>26.725*D21/250</f>
        <v>26.725</v>
      </c>
      <c r="T21" s="148">
        <f>0.95*D21/250</f>
        <v>0.95</v>
      </c>
      <c r="U21" s="150"/>
      <c r="V21" s="151"/>
      <c r="W21" s="151"/>
      <c r="X21" s="151"/>
    </row>
    <row r="22" spans="1:24" s="140" customFormat="1" ht="23.25" customHeight="1">
      <c r="A22" s="182">
        <v>266</v>
      </c>
      <c r="B22" s="221" t="s">
        <v>91</v>
      </c>
      <c r="C22" s="222"/>
      <c r="D22" s="147">
        <v>100</v>
      </c>
      <c r="E22" s="148">
        <v>44.81</v>
      </c>
      <c r="F22" s="148">
        <v>16.68</v>
      </c>
      <c r="G22" s="148">
        <v>23.27</v>
      </c>
      <c r="H22" s="148">
        <v>4.28</v>
      </c>
      <c r="I22" s="148">
        <v>293</v>
      </c>
      <c r="J22" s="148">
        <v>0.203</v>
      </c>
      <c r="K22" s="148">
        <v>0.23</v>
      </c>
      <c r="L22" s="148">
        <v>0.48</v>
      </c>
      <c r="M22" s="148">
        <f>0.04*D22/80</f>
        <v>0.05</v>
      </c>
      <c r="N22" s="145">
        <v>0.068</v>
      </c>
      <c r="O22" s="146">
        <v>54.5</v>
      </c>
      <c r="P22" s="146">
        <v>200.14</v>
      </c>
      <c r="Q22" s="148">
        <v>2.56</v>
      </c>
      <c r="R22" s="149">
        <f>0.04*D22/80</f>
        <v>0.05</v>
      </c>
      <c r="S22" s="146">
        <v>27.5</v>
      </c>
      <c r="T22" s="148">
        <v>2.17</v>
      </c>
      <c r="U22" s="150"/>
      <c r="V22" s="151"/>
      <c r="W22" s="151"/>
      <c r="X22" s="151"/>
    </row>
    <row r="23" spans="1:24" s="140" customFormat="1" ht="12.75" customHeight="1">
      <c r="A23" s="153">
        <v>171</v>
      </c>
      <c r="B23" s="221" t="s">
        <v>24</v>
      </c>
      <c r="C23" s="222"/>
      <c r="D23" s="147">
        <v>180</v>
      </c>
      <c r="E23" s="148">
        <v>13.8</v>
      </c>
      <c r="F23" s="148">
        <f>6.57*D23/150</f>
        <v>7.884000000000001</v>
      </c>
      <c r="G23" s="148">
        <f>4.19*D23/150</f>
        <v>5.0280000000000005</v>
      </c>
      <c r="H23" s="148">
        <f>32.32*D23/150</f>
        <v>38.784</v>
      </c>
      <c r="I23" s="148">
        <f t="shared" si="3"/>
        <v>231.924</v>
      </c>
      <c r="J23" s="149">
        <f>0.06*D23/150</f>
        <v>0.072</v>
      </c>
      <c r="K23" s="149">
        <f>0.03*D23/150</f>
        <v>0.036</v>
      </c>
      <c r="L23" s="145">
        <v>0</v>
      </c>
      <c r="M23" s="149">
        <f>0.03*D23/150</f>
        <v>0.036</v>
      </c>
      <c r="N23" s="145">
        <f>2.55*D23/150</f>
        <v>3.0599999999999996</v>
      </c>
      <c r="O23" s="148">
        <f>18.12*D23/150</f>
        <v>21.744000000000003</v>
      </c>
      <c r="P23" s="148">
        <f>157.03*D23/150</f>
        <v>188.436</v>
      </c>
      <c r="Q23" s="149">
        <f>0.8874*D23/150</f>
        <v>1.06488</v>
      </c>
      <c r="R23" s="149">
        <f>0.00135*D23/150</f>
        <v>0.0016200000000000001</v>
      </c>
      <c r="S23" s="148">
        <f>104.45*D23/150</f>
        <v>125.34</v>
      </c>
      <c r="T23" s="148">
        <f>3.55*D23/150</f>
        <v>4.26</v>
      </c>
      <c r="U23" s="150"/>
      <c r="V23" s="151"/>
      <c r="W23" s="151"/>
      <c r="X23" s="151"/>
    </row>
    <row r="24" spans="1:24" s="140" customFormat="1" ht="11.25">
      <c r="A24" s="133">
        <v>345</v>
      </c>
      <c r="B24" s="275" t="s">
        <v>49</v>
      </c>
      <c r="C24" s="275"/>
      <c r="D24" s="137">
        <v>200</v>
      </c>
      <c r="E24" s="128">
        <v>4.9</v>
      </c>
      <c r="F24" s="128">
        <v>0.06</v>
      </c>
      <c r="G24" s="128">
        <v>0.02</v>
      </c>
      <c r="H24" s="128">
        <v>20.73</v>
      </c>
      <c r="I24" s="128">
        <v>83.34</v>
      </c>
      <c r="J24" s="128">
        <v>0</v>
      </c>
      <c r="K24" s="128">
        <v>0</v>
      </c>
      <c r="L24" s="128">
        <v>2.5</v>
      </c>
      <c r="M24" s="128">
        <v>0.004</v>
      </c>
      <c r="N24" s="128">
        <v>0.2</v>
      </c>
      <c r="O24" s="128">
        <v>4</v>
      </c>
      <c r="P24" s="128">
        <v>3.3</v>
      </c>
      <c r="Q24" s="128">
        <v>0.08</v>
      </c>
      <c r="R24" s="128">
        <v>0.001</v>
      </c>
      <c r="S24" s="128">
        <v>1.7</v>
      </c>
      <c r="T24" s="128">
        <v>0.15</v>
      </c>
      <c r="U24" s="150"/>
      <c r="V24" s="151"/>
      <c r="W24" s="151"/>
      <c r="X24" s="151"/>
    </row>
    <row r="25" spans="1:24" s="140" customFormat="1" ht="11.25" customHeight="1">
      <c r="A25" s="78" t="s">
        <v>67</v>
      </c>
      <c r="B25" s="221" t="s">
        <v>46</v>
      </c>
      <c r="C25" s="222"/>
      <c r="D25" s="147">
        <v>40</v>
      </c>
      <c r="E25" s="148">
        <v>2.04</v>
      </c>
      <c r="F25" s="148">
        <f>2.64*D25/40</f>
        <v>2.64</v>
      </c>
      <c r="G25" s="148">
        <f>0.48*D25/40</f>
        <v>0.48</v>
      </c>
      <c r="H25" s="148">
        <f>13.68*D25/40</f>
        <v>13.680000000000001</v>
      </c>
      <c r="I25" s="146">
        <f t="shared" si="3"/>
        <v>69.60000000000001</v>
      </c>
      <c r="J25" s="145">
        <f>0.08*D25/40</f>
        <v>0.08</v>
      </c>
      <c r="K25" s="148">
        <f>0.04*D25/40</f>
        <v>0.04</v>
      </c>
      <c r="L25" s="147">
        <v>0</v>
      </c>
      <c r="M25" s="147">
        <v>0</v>
      </c>
      <c r="N25" s="148">
        <f>2.4*D25/40</f>
        <v>2.4</v>
      </c>
      <c r="O25" s="148">
        <f>14*D25/40</f>
        <v>14</v>
      </c>
      <c r="P25" s="148">
        <f>63.2*D25/40</f>
        <v>63.2</v>
      </c>
      <c r="Q25" s="148">
        <f>1.2*D25/40</f>
        <v>1.2</v>
      </c>
      <c r="R25" s="149">
        <f>0.001*D25/40</f>
        <v>0.001</v>
      </c>
      <c r="S25" s="148">
        <f>9.4*D25/40</f>
        <v>9.4</v>
      </c>
      <c r="T25" s="145">
        <f>0.78*D25/40</f>
        <v>0.78</v>
      </c>
      <c r="U25" s="30"/>
      <c r="V25" s="31"/>
      <c r="W25" s="31"/>
      <c r="X25" s="31"/>
    </row>
    <row r="26" spans="1:24" s="140" customFormat="1" ht="11.25" customHeight="1">
      <c r="A26" s="153" t="s">
        <v>67</v>
      </c>
      <c r="B26" s="221" t="s">
        <v>53</v>
      </c>
      <c r="C26" s="222"/>
      <c r="D26" s="147">
        <v>40</v>
      </c>
      <c r="E26" s="148">
        <v>3.1</v>
      </c>
      <c r="F26" s="148">
        <f>1.52*D26/30</f>
        <v>2.0266666666666664</v>
      </c>
      <c r="G26" s="149">
        <f>0.16*D26/30</f>
        <v>0.21333333333333335</v>
      </c>
      <c r="H26" s="149">
        <f>9.84*D26/30</f>
        <v>13.120000000000001</v>
      </c>
      <c r="I26" s="149">
        <f t="shared" si="3"/>
        <v>62.50666666666667</v>
      </c>
      <c r="J26" s="149">
        <f>0.02*D26/30</f>
        <v>0.02666666666666667</v>
      </c>
      <c r="K26" s="149">
        <f>0.01*D26/30</f>
        <v>0.013333333333333334</v>
      </c>
      <c r="L26" s="149">
        <f>0.44*D26/30</f>
        <v>0.5866666666666667</v>
      </c>
      <c r="M26" s="149">
        <v>0</v>
      </c>
      <c r="N26" s="149">
        <f>0.7*D26/30</f>
        <v>0.9333333333333333</v>
      </c>
      <c r="O26" s="149">
        <f>4*D26/30</f>
        <v>5.333333333333333</v>
      </c>
      <c r="P26" s="149">
        <f>13*D26/30</f>
        <v>17.333333333333332</v>
      </c>
      <c r="Q26" s="149">
        <f>0.008*D26/30</f>
        <v>0.010666666666666666</v>
      </c>
      <c r="R26" s="149">
        <f>0.001*D26/30</f>
        <v>0.0013333333333333333</v>
      </c>
      <c r="S26" s="149">
        <v>0</v>
      </c>
      <c r="T26" s="149">
        <f>0.22*D26/30</f>
        <v>0.29333333333333333</v>
      </c>
      <c r="U26" s="35"/>
      <c r="V26" s="36"/>
      <c r="W26" s="36"/>
      <c r="X26" s="36"/>
    </row>
    <row r="27" spans="1:24" s="140" customFormat="1" ht="11.25" customHeight="1">
      <c r="A27" s="61" t="s">
        <v>29</v>
      </c>
      <c r="B27" s="62"/>
      <c r="C27" s="62"/>
      <c r="D27" s="65">
        <f aca="true" t="shared" si="4" ref="D27:I27">SUM(D20:D26)</f>
        <v>910</v>
      </c>
      <c r="E27" s="154">
        <f t="shared" si="4"/>
        <v>90</v>
      </c>
      <c r="F27" s="39">
        <f t="shared" si="4"/>
        <v>33.39066666666667</v>
      </c>
      <c r="G27" s="38">
        <f t="shared" si="4"/>
        <v>40.30799999999999</v>
      </c>
      <c r="H27" s="49">
        <f t="shared" si="4"/>
        <v>116.95733333333335</v>
      </c>
      <c r="I27" s="38">
        <f t="shared" si="4"/>
        <v>963.894</v>
      </c>
      <c r="J27" s="38">
        <f aca="true" t="shared" si="5" ref="J27:T27">SUM(J20:J26)</f>
        <v>0.6713333333333332</v>
      </c>
      <c r="K27" s="38">
        <f t="shared" si="5"/>
        <v>0.56</v>
      </c>
      <c r="L27" s="38">
        <f t="shared" si="5"/>
        <v>40.096666666666664</v>
      </c>
      <c r="M27" s="39">
        <f t="shared" si="5"/>
        <v>0.15833333333333333</v>
      </c>
      <c r="N27" s="39">
        <f t="shared" si="5"/>
        <v>7.494666666666667</v>
      </c>
      <c r="O27" s="49">
        <f t="shared" si="5"/>
        <v>224.71066666666667</v>
      </c>
      <c r="P27" s="38">
        <f t="shared" si="5"/>
        <v>595.6260000000001</v>
      </c>
      <c r="Q27" s="40">
        <f t="shared" si="5"/>
        <v>5.620213333333334</v>
      </c>
      <c r="R27" s="40">
        <f t="shared" si="5"/>
        <v>0.05995333333333334</v>
      </c>
      <c r="S27" s="38">
        <f t="shared" si="5"/>
        <v>217.83166666666668</v>
      </c>
      <c r="T27" s="39">
        <f t="shared" si="5"/>
        <v>9.77</v>
      </c>
      <c r="U27" s="38"/>
      <c r="V27" s="142"/>
      <c r="W27" s="142"/>
      <c r="X27" s="142"/>
    </row>
    <row r="28" spans="1:24" s="140" customFormat="1" ht="11.25" customHeight="1">
      <c r="A28" s="229" t="s">
        <v>63</v>
      </c>
      <c r="B28" s="230"/>
      <c r="C28" s="230"/>
      <c r="D28" s="231"/>
      <c r="E28" s="180"/>
      <c r="F28" s="155">
        <f aca="true" t="shared" si="6" ref="F28:T28">F27/F36</f>
        <v>0.3710074074074074</v>
      </c>
      <c r="G28" s="76">
        <f t="shared" si="6"/>
        <v>0.4381304347826086</v>
      </c>
      <c r="H28" s="76">
        <f t="shared" si="6"/>
        <v>0.30537162750217584</v>
      </c>
      <c r="I28" s="76">
        <f t="shared" si="6"/>
        <v>0.35437279411764705</v>
      </c>
      <c r="J28" s="76">
        <f t="shared" si="6"/>
        <v>0.47952380952380946</v>
      </c>
      <c r="K28" s="76">
        <f t="shared" si="6"/>
        <v>0.35000000000000003</v>
      </c>
      <c r="L28" s="76">
        <f t="shared" si="6"/>
        <v>0.5728095238095238</v>
      </c>
      <c r="M28" s="76">
        <f t="shared" si="6"/>
        <v>0.1759259259259259</v>
      </c>
      <c r="N28" s="76">
        <f t="shared" si="6"/>
        <v>0.6245555555555556</v>
      </c>
      <c r="O28" s="44">
        <f t="shared" si="6"/>
        <v>0.1872588888888889</v>
      </c>
      <c r="P28" s="76">
        <f t="shared" si="6"/>
        <v>0.4963550000000001</v>
      </c>
      <c r="Q28" s="76">
        <f t="shared" si="6"/>
        <v>0.4014438095238096</v>
      </c>
      <c r="R28" s="76">
        <f t="shared" si="6"/>
        <v>0.5995333333333334</v>
      </c>
      <c r="S28" s="76">
        <f t="shared" si="6"/>
        <v>0.7261055555555556</v>
      </c>
      <c r="T28" s="44">
        <f t="shared" si="6"/>
        <v>0.5427777777777778</v>
      </c>
      <c r="U28" s="144"/>
      <c r="V28" s="142"/>
      <c r="W28" s="142"/>
      <c r="X28" s="142"/>
    </row>
    <row r="29" spans="1:24" s="140" customFormat="1" ht="11.25" customHeight="1" hidden="1">
      <c r="A29" s="179"/>
      <c r="B29" s="180"/>
      <c r="C29" s="180"/>
      <c r="D29" s="180"/>
      <c r="E29" s="171">
        <f>90-E27</f>
        <v>0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68"/>
      <c r="P29" s="155"/>
      <c r="Q29" s="155"/>
      <c r="R29" s="155"/>
      <c r="S29" s="155"/>
      <c r="T29" s="169"/>
      <c r="U29" s="144"/>
      <c r="V29" s="142"/>
      <c r="W29" s="142"/>
      <c r="X29" s="142"/>
    </row>
    <row r="30" spans="1:24" s="140" customFormat="1" ht="15.75" customHeight="1">
      <c r="A30" s="232" t="s">
        <v>30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1"/>
      <c r="V30" s="24"/>
      <c r="W30" s="24"/>
      <c r="X30" s="24"/>
    </row>
    <row r="31" spans="1:20" s="204" customFormat="1" ht="15.75" customHeight="1">
      <c r="A31" s="135"/>
      <c r="B31" s="263" t="s">
        <v>121</v>
      </c>
      <c r="C31" s="263"/>
      <c r="D31" s="131">
        <v>90</v>
      </c>
      <c r="E31" s="130">
        <v>26.39</v>
      </c>
      <c r="F31" s="130">
        <f>0.39*D31/60</f>
        <v>0.5850000000000001</v>
      </c>
      <c r="G31" s="130">
        <f>0.18*D31/60</f>
        <v>0.26999999999999996</v>
      </c>
      <c r="H31" s="130">
        <f>5.37*D31/60</f>
        <v>8.055</v>
      </c>
      <c r="I31" s="130">
        <f>F31*4+G31*9+H31*4</f>
        <v>36.989999999999995</v>
      </c>
      <c r="J31" s="201">
        <f>0.02*D31/60</f>
        <v>0.030000000000000002</v>
      </c>
      <c r="K31" s="130">
        <f>0.02*D31/60</f>
        <v>0.030000000000000002</v>
      </c>
      <c r="L31" s="130">
        <f>22.95*D31/60</f>
        <v>34.425</v>
      </c>
      <c r="M31" s="201">
        <f>0.02*D31/60</f>
        <v>0.030000000000000002</v>
      </c>
      <c r="N31" s="202">
        <f>0.6*D31/60</f>
        <v>0.9</v>
      </c>
      <c r="O31" s="203">
        <f>15*D31/60</f>
        <v>22.5</v>
      </c>
      <c r="P31" s="130">
        <f>10.2*D31/60</f>
        <v>15.299999999999999</v>
      </c>
      <c r="Q31" s="130">
        <f>0.13*D31/60</f>
        <v>0.195</v>
      </c>
      <c r="R31" s="201">
        <f>0.001*D31/60</f>
        <v>0.0015</v>
      </c>
      <c r="S31" s="130">
        <f>6.6*D31/60</f>
        <v>9.9</v>
      </c>
      <c r="T31" s="130">
        <f>0.75*D31/60</f>
        <v>1.125</v>
      </c>
    </row>
    <row r="32" spans="1:20" s="129" customFormat="1" ht="15.75" customHeight="1">
      <c r="A32" s="205">
        <v>377</v>
      </c>
      <c r="B32" s="223" t="s">
        <v>45</v>
      </c>
      <c r="C32" s="223"/>
      <c r="D32" s="206">
        <v>200</v>
      </c>
      <c r="E32" s="136">
        <v>3.61</v>
      </c>
      <c r="F32" s="128">
        <v>0.26</v>
      </c>
      <c r="G32" s="128">
        <v>0.06</v>
      </c>
      <c r="H32" s="128">
        <v>15.22</v>
      </c>
      <c r="I32" s="128">
        <v>62.46</v>
      </c>
      <c r="J32" s="128">
        <v>0</v>
      </c>
      <c r="K32" s="128">
        <v>0.01</v>
      </c>
      <c r="L32" s="128">
        <v>2.9</v>
      </c>
      <c r="M32" s="128">
        <v>0</v>
      </c>
      <c r="N32" s="128">
        <v>0.06</v>
      </c>
      <c r="O32" s="128">
        <v>8.05</v>
      </c>
      <c r="P32" s="128">
        <v>9.78</v>
      </c>
      <c r="Q32" s="128">
        <v>0.017</v>
      </c>
      <c r="R32" s="128">
        <v>0</v>
      </c>
      <c r="S32" s="128">
        <v>5.24</v>
      </c>
      <c r="T32" s="128">
        <v>0.87</v>
      </c>
    </row>
    <row r="33" spans="1:24" s="1" customFormat="1" ht="15.75" customHeight="1">
      <c r="A33" s="61" t="s">
        <v>31</v>
      </c>
      <c r="B33" s="62"/>
      <c r="C33" s="62"/>
      <c r="D33" s="65">
        <f aca="true" t="shared" si="7" ref="D33:T33">SUM(D31:D32)</f>
        <v>290</v>
      </c>
      <c r="E33" s="154">
        <f t="shared" si="7"/>
        <v>30</v>
      </c>
      <c r="F33" s="154">
        <f t="shared" si="7"/>
        <v>0.8450000000000001</v>
      </c>
      <c r="G33" s="154">
        <f t="shared" si="7"/>
        <v>0.32999999999999996</v>
      </c>
      <c r="H33" s="154">
        <f t="shared" si="7"/>
        <v>23.275</v>
      </c>
      <c r="I33" s="154">
        <f t="shared" si="7"/>
        <v>99.44999999999999</v>
      </c>
      <c r="J33" s="154">
        <f t="shared" si="7"/>
        <v>0.030000000000000002</v>
      </c>
      <c r="K33" s="154">
        <f t="shared" si="7"/>
        <v>0.04</v>
      </c>
      <c r="L33" s="154">
        <f t="shared" si="7"/>
        <v>37.324999999999996</v>
      </c>
      <c r="M33" s="154">
        <f t="shared" si="7"/>
        <v>0.030000000000000002</v>
      </c>
      <c r="N33" s="154">
        <f t="shared" si="7"/>
        <v>0.96</v>
      </c>
      <c r="O33" s="154">
        <f t="shared" si="7"/>
        <v>30.55</v>
      </c>
      <c r="P33" s="154">
        <f t="shared" si="7"/>
        <v>25.08</v>
      </c>
      <c r="Q33" s="154">
        <f t="shared" si="7"/>
        <v>0.21200000000000002</v>
      </c>
      <c r="R33" s="154">
        <f t="shared" si="7"/>
        <v>0.0015</v>
      </c>
      <c r="S33" s="154">
        <f t="shared" si="7"/>
        <v>15.14</v>
      </c>
      <c r="T33" s="154">
        <f t="shared" si="7"/>
        <v>1.995</v>
      </c>
      <c r="U33" s="38"/>
      <c r="V33" s="142"/>
      <c r="W33" s="142"/>
      <c r="X33" s="142"/>
    </row>
    <row r="34" spans="1:24" s="1" customFormat="1" ht="11.25" customHeight="1">
      <c r="A34" s="229" t="s">
        <v>63</v>
      </c>
      <c r="B34" s="230"/>
      <c r="C34" s="230"/>
      <c r="D34" s="231"/>
      <c r="E34" s="181"/>
      <c r="F34" s="76">
        <f>F33/F36</f>
        <v>0.00938888888888889</v>
      </c>
      <c r="G34" s="76">
        <f aca="true" t="shared" si="8" ref="G34:T34">G33/G36</f>
        <v>0.00358695652173913</v>
      </c>
      <c r="H34" s="76">
        <f t="shared" si="8"/>
        <v>0.060770234986945164</v>
      </c>
      <c r="I34" s="76">
        <f t="shared" si="8"/>
        <v>0.0365625</v>
      </c>
      <c r="J34" s="76">
        <f t="shared" si="8"/>
        <v>0.021428571428571432</v>
      </c>
      <c r="K34" s="76">
        <f t="shared" si="8"/>
        <v>0.024999999999999998</v>
      </c>
      <c r="L34" s="76">
        <f t="shared" si="8"/>
        <v>0.5332142857142856</v>
      </c>
      <c r="M34" s="76">
        <f t="shared" si="8"/>
        <v>0.03333333333333333</v>
      </c>
      <c r="N34" s="76">
        <f t="shared" si="8"/>
        <v>0.08</v>
      </c>
      <c r="O34" s="76">
        <f t="shared" si="8"/>
        <v>0.025458333333333333</v>
      </c>
      <c r="P34" s="76">
        <f t="shared" si="8"/>
        <v>0.0209</v>
      </c>
      <c r="Q34" s="76">
        <f t="shared" si="8"/>
        <v>0.015142857142857144</v>
      </c>
      <c r="R34" s="76">
        <f t="shared" si="8"/>
        <v>0.015</v>
      </c>
      <c r="S34" s="76">
        <f t="shared" si="8"/>
        <v>0.05046666666666667</v>
      </c>
      <c r="T34" s="44">
        <f t="shared" si="8"/>
        <v>0.11083333333333334</v>
      </c>
      <c r="U34" s="144"/>
      <c r="V34" s="142"/>
      <c r="W34" s="142"/>
      <c r="X34" s="142"/>
    </row>
    <row r="35" spans="1:24" s="1" customFormat="1" ht="11.25" customHeight="1">
      <c r="A35" s="259" t="s">
        <v>62</v>
      </c>
      <c r="B35" s="260"/>
      <c r="C35" s="260"/>
      <c r="D35" s="261"/>
      <c r="E35" s="174"/>
      <c r="F35" s="39">
        <f aca="true" t="shared" si="9" ref="F35:T35">SUM(F14,F27,F33)</f>
        <v>49.55566666666667</v>
      </c>
      <c r="G35" s="38">
        <f t="shared" si="9"/>
        <v>61.377333333333326</v>
      </c>
      <c r="H35" s="38">
        <f t="shared" si="9"/>
        <v>216.5156666666667</v>
      </c>
      <c r="I35" s="38">
        <f t="shared" si="9"/>
        <v>1616.4113333333335</v>
      </c>
      <c r="J35" s="39">
        <f t="shared" si="9"/>
        <v>0.9849999999999999</v>
      </c>
      <c r="K35" s="39">
        <f t="shared" si="9"/>
        <v>0.7193333333333334</v>
      </c>
      <c r="L35" s="38">
        <f t="shared" si="9"/>
        <v>83.99833333333333</v>
      </c>
      <c r="M35" s="39">
        <f t="shared" si="9"/>
        <v>0.22733333333333333</v>
      </c>
      <c r="N35" s="39">
        <f t="shared" si="9"/>
        <v>10.978000000000002</v>
      </c>
      <c r="O35" s="38">
        <f t="shared" si="9"/>
        <v>301.02000000000004</v>
      </c>
      <c r="P35" s="38">
        <f t="shared" si="9"/>
        <v>779.2513333333335</v>
      </c>
      <c r="Q35" s="39">
        <f t="shared" si="9"/>
        <v>7.9798800000000005</v>
      </c>
      <c r="R35" s="40">
        <f t="shared" si="9"/>
        <v>2.6155866666666663</v>
      </c>
      <c r="S35" s="39">
        <f t="shared" si="9"/>
        <v>263.8756666666667</v>
      </c>
      <c r="T35" s="39">
        <f t="shared" si="9"/>
        <v>14.890333333333334</v>
      </c>
      <c r="U35" s="42"/>
      <c r="V35" s="142"/>
      <c r="W35" s="142"/>
      <c r="X35" s="142"/>
    </row>
    <row r="36" spans="1:24" s="1" customFormat="1" ht="11.25" customHeight="1">
      <c r="A36" s="259" t="s">
        <v>64</v>
      </c>
      <c r="B36" s="260"/>
      <c r="C36" s="260"/>
      <c r="D36" s="261"/>
      <c r="E36" s="174"/>
      <c r="F36" s="148">
        <v>90</v>
      </c>
      <c r="G36" s="146">
        <v>92</v>
      </c>
      <c r="H36" s="146">
        <v>383</v>
      </c>
      <c r="I36" s="146">
        <v>2720</v>
      </c>
      <c r="J36" s="148">
        <v>1.4</v>
      </c>
      <c r="K36" s="148">
        <v>1.6</v>
      </c>
      <c r="L36" s="147">
        <v>70</v>
      </c>
      <c r="M36" s="148">
        <v>0.9</v>
      </c>
      <c r="N36" s="147">
        <v>12</v>
      </c>
      <c r="O36" s="147">
        <v>1200</v>
      </c>
      <c r="P36" s="147">
        <v>1200</v>
      </c>
      <c r="Q36" s="147">
        <v>14</v>
      </c>
      <c r="R36" s="146">
        <v>0.1</v>
      </c>
      <c r="S36" s="147">
        <v>300</v>
      </c>
      <c r="T36" s="148">
        <v>18</v>
      </c>
      <c r="U36" s="150"/>
      <c r="V36" s="151"/>
      <c r="W36" s="151"/>
      <c r="X36" s="151"/>
    </row>
    <row r="37" spans="1:24" s="1" customFormat="1" ht="11.25" customHeight="1">
      <c r="A37" s="229" t="s">
        <v>63</v>
      </c>
      <c r="B37" s="230"/>
      <c r="C37" s="230"/>
      <c r="D37" s="231"/>
      <c r="E37" s="181"/>
      <c r="F37" s="76">
        <f aca="true" t="shared" si="10" ref="F37:T37">F35/F36</f>
        <v>0.5506185185185185</v>
      </c>
      <c r="G37" s="44">
        <f t="shared" si="10"/>
        <v>0.6671449275362318</v>
      </c>
      <c r="H37" s="44">
        <f t="shared" si="10"/>
        <v>0.5653150565709314</v>
      </c>
      <c r="I37" s="44">
        <f t="shared" si="10"/>
        <v>0.5942688725490196</v>
      </c>
      <c r="J37" s="44">
        <f t="shared" si="10"/>
        <v>0.7035714285714285</v>
      </c>
      <c r="K37" s="44">
        <f t="shared" si="10"/>
        <v>0.44958333333333333</v>
      </c>
      <c r="L37" s="44">
        <f t="shared" si="10"/>
        <v>1.1999761904761905</v>
      </c>
      <c r="M37" s="45">
        <f t="shared" si="10"/>
        <v>0.2525925925925926</v>
      </c>
      <c r="N37" s="45">
        <f t="shared" si="10"/>
        <v>0.9148333333333335</v>
      </c>
      <c r="O37" s="44">
        <f t="shared" si="10"/>
        <v>0.25085</v>
      </c>
      <c r="P37" s="44">
        <f t="shared" si="10"/>
        <v>0.6493761111111113</v>
      </c>
      <c r="Q37" s="44">
        <f t="shared" si="10"/>
        <v>0.5699914285714286</v>
      </c>
      <c r="R37" s="45">
        <f t="shared" si="10"/>
        <v>26.15586666666666</v>
      </c>
      <c r="S37" s="44">
        <f t="shared" si="10"/>
        <v>0.8795855555555556</v>
      </c>
      <c r="T37" s="45">
        <f t="shared" si="10"/>
        <v>0.8272407407407408</v>
      </c>
      <c r="U37" s="51"/>
      <c r="V37" s="52"/>
      <c r="W37" s="52"/>
      <c r="X37" s="52"/>
    </row>
    <row r="38" spans="1:24" s="1" customFormat="1" ht="11.25" customHeight="1">
      <c r="A38" s="54"/>
      <c r="B38" s="54"/>
      <c r="C38" s="110"/>
      <c r="D38" s="110"/>
      <c r="E38" s="117"/>
      <c r="F38" s="102"/>
      <c r="G38" s="71"/>
      <c r="H38" s="2"/>
      <c r="I38" s="2"/>
      <c r="J38" s="71"/>
      <c r="K38" s="71"/>
      <c r="L38" s="71"/>
      <c r="M38" s="269" t="s">
        <v>66</v>
      </c>
      <c r="N38" s="269"/>
      <c r="O38" s="269"/>
      <c r="P38" s="269"/>
      <c r="Q38" s="269"/>
      <c r="R38" s="269"/>
      <c r="S38" s="269"/>
      <c r="T38" s="269"/>
      <c r="U38" s="12"/>
      <c r="V38" s="19"/>
      <c r="W38" s="19"/>
      <c r="X38" s="19"/>
    </row>
    <row r="39" spans="1:25" s="1" customFormat="1" ht="11.25" customHeight="1">
      <c r="A39" s="262" t="s">
        <v>32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13"/>
      <c r="V39" s="25"/>
      <c r="W39" s="25"/>
      <c r="X39" s="25"/>
      <c r="Y39" s="53"/>
    </row>
    <row r="40" spans="1:24" s="1" customFormat="1" ht="11.25" customHeight="1">
      <c r="A40" s="58" t="s">
        <v>55</v>
      </c>
      <c r="B40" s="54"/>
      <c r="C40" s="54"/>
      <c r="D40" s="2"/>
      <c r="E40" s="2"/>
      <c r="F40" s="34"/>
      <c r="G40" s="240" t="s">
        <v>33</v>
      </c>
      <c r="H40" s="240"/>
      <c r="I40" s="240"/>
      <c r="J40" s="71"/>
      <c r="K40" s="71"/>
      <c r="L40" s="247" t="s">
        <v>2</v>
      </c>
      <c r="M40" s="247"/>
      <c r="N40" s="256"/>
      <c r="O40" s="256"/>
      <c r="P40" s="256"/>
      <c r="Q40" s="256"/>
      <c r="R40" s="71"/>
      <c r="S40" s="71"/>
      <c r="T40" s="71"/>
      <c r="U40" s="14"/>
      <c r="V40" s="20"/>
      <c r="W40" s="20"/>
      <c r="X40" s="20"/>
    </row>
    <row r="41" spans="1:24" s="1" customFormat="1" ht="11.25" customHeight="1">
      <c r="A41" s="54"/>
      <c r="B41" s="54"/>
      <c r="C41" s="54"/>
      <c r="D41" s="247" t="s">
        <v>3</v>
      </c>
      <c r="E41" s="247"/>
      <c r="F41" s="247"/>
      <c r="G41" s="7">
        <v>1</v>
      </c>
      <c r="H41" s="71"/>
      <c r="I41" s="2"/>
      <c r="J41" s="2"/>
      <c r="K41" s="2"/>
      <c r="L41" s="247" t="s">
        <v>4</v>
      </c>
      <c r="M41" s="247"/>
      <c r="N41" s="240" t="s">
        <v>57</v>
      </c>
      <c r="O41" s="240"/>
      <c r="P41" s="240"/>
      <c r="Q41" s="240"/>
      <c r="R41" s="240"/>
      <c r="S41" s="240"/>
      <c r="T41" s="240"/>
      <c r="U41" s="15"/>
      <c r="V41" s="21"/>
      <c r="W41" s="21"/>
      <c r="X41" s="21"/>
    </row>
    <row r="42" spans="1:24" s="1" customFormat="1" ht="21.75" customHeight="1">
      <c r="A42" s="241" t="s">
        <v>5</v>
      </c>
      <c r="B42" s="243" t="s">
        <v>6</v>
      </c>
      <c r="C42" s="244"/>
      <c r="D42" s="241" t="s">
        <v>7</v>
      </c>
      <c r="E42" s="183"/>
      <c r="F42" s="248" t="s">
        <v>8</v>
      </c>
      <c r="G42" s="249"/>
      <c r="H42" s="250"/>
      <c r="I42" s="241" t="s">
        <v>9</v>
      </c>
      <c r="J42" s="248" t="s">
        <v>10</v>
      </c>
      <c r="K42" s="249"/>
      <c r="L42" s="249"/>
      <c r="M42" s="249"/>
      <c r="N42" s="250"/>
      <c r="O42" s="248" t="s">
        <v>11</v>
      </c>
      <c r="P42" s="249"/>
      <c r="Q42" s="249"/>
      <c r="R42" s="249"/>
      <c r="S42" s="249"/>
      <c r="T42" s="250"/>
      <c r="U42" s="9"/>
      <c r="V42" s="22"/>
      <c r="W42" s="22"/>
      <c r="X42" s="22"/>
    </row>
    <row r="43" spans="1:24" s="1" customFormat="1" ht="21" customHeight="1">
      <c r="A43" s="242"/>
      <c r="B43" s="245"/>
      <c r="C43" s="246"/>
      <c r="D43" s="242"/>
      <c r="E43" s="176"/>
      <c r="F43" s="100" t="s">
        <v>12</v>
      </c>
      <c r="G43" s="177" t="s">
        <v>13</v>
      </c>
      <c r="H43" s="177" t="s">
        <v>14</v>
      </c>
      <c r="I43" s="242"/>
      <c r="J43" s="177" t="s">
        <v>15</v>
      </c>
      <c r="K43" s="177" t="s">
        <v>58</v>
      </c>
      <c r="L43" s="177" t="s">
        <v>16</v>
      </c>
      <c r="M43" s="177" t="s">
        <v>17</v>
      </c>
      <c r="N43" s="177" t="s">
        <v>18</v>
      </c>
      <c r="O43" s="177" t="s">
        <v>19</v>
      </c>
      <c r="P43" s="177" t="s">
        <v>20</v>
      </c>
      <c r="Q43" s="177" t="s">
        <v>59</v>
      </c>
      <c r="R43" s="177" t="s">
        <v>60</v>
      </c>
      <c r="S43" s="177" t="s">
        <v>21</v>
      </c>
      <c r="T43" s="177" t="s">
        <v>22</v>
      </c>
      <c r="U43" s="9"/>
      <c r="V43" s="22"/>
      <c r="W43" s="22"/>
      <c r="X43" s="22"/>
    </row>
    <row r="44" spans="1:24" s="1" customFormat="1" ht="11.25" customHeight="1">
      <c r="A44" s="182">
        <v>1</v>
      </c>
      <c r="B44" s="257">
        <v>2</v>
      </c>
      <c r="C44" s="258"/>
      <c r="D44" s="37">
        <v>3</v>
      </c>
      <c r="E44" s="37"/>
      <c r="F44" s="101">
        <v>4</v>
      </c>
      <c r="G44" s="37">
        <v>5</v>
      </c>
      <c r="H44" s="37">
        <v>6</v>
      </c>
      <c r="I44" s="37">
        <v>7</v>
      </c>
      <c r="J44" s="37">
        <v>8</v>
      </c>
      <c r="K44" s="37">
        <v>9</v>
      </c>
      <c r="L44" s="37">
        <v>10</v>
      </c>
      <c r="M44" s="37">
        <v>11</v>
      </c>
      <c r="N44" s="37">
        <v>12</v>
      </c>
      <c r="O44" s="37">
        <v>13</v>
      </c>
      <c r="P44" s="37">
        <v>14</v>
      </c>
      <c r="Q44" s="37">
        <v>15</v>
      </c>
      <c r="R44" s="37">
        <v>16</v>
      </c>
      <c r="S44" s="37">
        <v>17</v>
      </c>
      <c r="T44" s="37">
        <v>18</v>
      </c>
      <c r="U44" s="10"/>
      <c r="V44" s="23"/>
      <c r="W44" s="23"/>
      <c r="X44" s="23"/>
    </row>
    <row r="45" spans="1:24" s="1" customFormat="1" ht="11.25" customHeight="1">
      <c r="A45" s="236" t="str">
        <f>A114</f>
        <v>Завтрак молочный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8"/>
      <c r="U45" s="11"/>
      <c r="V45" s="24"/>
      <c r="W45" s="24"/>
      <c r="X45" s="24"/>
    </row>
    <row r="46" spans="1:20" s="129" customFormat="1" ht="11.25" customHeight="1">
      <c r="A46" s="132" t="s">
        <v>67</v>
      </c>
      <c r="B46" s="263" t="s">
        <v>101</v>
      </c>
      <c r="C46" s="263"/>
      <c r="D46" s="131">
        <v>25</v>
      </c>
      <c r="E46" s="130">
        <v>6.4</v>
      </c>
      <c r="F46" s="130">
        <v>1.25</v>
      </c>
      <c r="G46" s="130"/>
      <c r="H46" s="130">
        <v>9.5</v>
      </c>
      <c r="I46" s="130">
        <v>43</v>
      </c>
      <c r="J46" s="130">
        <v>0.008</v>
      </c>
      <c r="K46" s="130">
        <v>0.007</v>
      </c>
      <c r="L46" s="130">
        <v>0.16</v>
      </c>
      <c r="M46" s="130">
        <v>0.008</v>
      </c>
      <c r="N46" s="130">
        <v>0.03</v>
      </c>
      <c r="O46" s="130">
        <v>51.16</v>
      </c>
      <c r="P46" s="130">
        <v>36.5</v>
      </c>
      <c r="Q46" s="130">
        <v>0.16</v>
      </c>
      <c r="R46" s="130">
        <v>0.002</v>
      </c>
      <c r="S46" s="130">
        <v>5.66</v>
      </c>
      <c r="T46" s="130">
        <v>0.03</v>
      </c>
    </row>
    <row r="47" spans="1:20" s="129" customFormat="1" ht="21" customHeight="1">
      <c r="A47" s="135">
        <v>222</v>
      </c>
      <c r="B47" s="253" t="s">
        <v>100</v>
      </c>
      <c r="C47" s="254"/>
      <c r="D47" s="131">
        <v>170</v>
      </c>
      <c r="E47" s="130">
        <v>46.22</v>
      </c>
      <c r="F47" s="136">
        <v>14.92</v>
      </c>
      <c r="G47" s="136">
        <v>14.38</v>
      </c>
      <c r="H47" s="136">
        <v>31.51</v>
      </c>
      <c r="I47" s="136">
        <v>315.14</v>
      </c>
      <c r="J47" s="136">
        <v>0.26</v>
      </c>
      <c r="K47" s="136">
        <v>0.408</v>
      </c>
      <c r="L47" s="136">
        <v>0.935</v>
      </c>
      <c r="M47" s="136">
        <v>0.213</v>
      </c>
      <c r="N47" s="136">
        <v>1.36</v>
      </c>
      <c r="O47" s="136">
        <v>215.96</v>
      </c>
      <c r="P47" s="136">
        <v>414.6</v>
      </c>
      <c r="Q47" s="136">
        <v>1.2</v>
      </c>
      <c r="R47" s="136">
        <v>0.02</v>
      </c>
      <c r="S47" s="136">
        <v>93.883</v>
      </c>
      <c r="T47" s="136">
        <v>2.533</v>
      </c>
    </row>
    <row r="48" spans="1:24" s="140" customFormat="1" ht="11.25" customHeight="1">
      <c r="A48" s="182">
        <v>382</v>
      </c>
      <c r="B48" s="221" t="s">
        <v>93</v>
      </c>
      <c r="C48" s="222"/>
      <c r="D48" s="147">
        <v>200</v>
      </c>
      <c r="E48" s="148">
        <v>14.3</v>
      </c>
      <c r="F48" s="148">
        <f>3.5*D48/200</f>
        <v>3.5</v>
      </c>
      <c r="G48" s="148">
        <f>3.7*D48/200</f>
        <v>3.7</v>
      </c>
      <c r="H48" s="148">
        <f>25.5*D48/200</f>
        <v>25.5</v>
      </c>
      <c r="I48" s="148">
        <f>F48*4+G48*9+H48*4</f>
        <v>149.3</v>
      </c>
      <c r="J48" s="148">
        <f>0.06*D48/200</f>
        <v>0.06</v>
      </c>
      <c r="K48" s="148">
        <f>0.006*D48/200</f>
        <v>0.006</v>
      </c>
      <c r="L48" s="148">
        <f>1.6*D48/200</f>
        <v>1.6</v>
      </c>
      <c r="M48" s="149">
        <f>0.04*D48/200</f>
        <v>0.04</v>
      </c>
      <c r="N48" s="148">
        <f>0.4*D48/200</f>
        <v>0.4</v>
      </c>
      <c r="O48" s="148">
        <f>102.6*D48/200</f>
        <v>102.6</v>
      </c>
      <c r="P48" s="148">
        <f>178.4*D48/200</f>
        <v>178.4</v>
      </c>
      <c r="Q48" s="148">
        <f>1*D48/200</f>
        <v>1</v>
      </c>
      <c r="R48" s="149">
        <f>0.001*D48/200</f>
        <v>0.001</v>
      </c>
      <c r="S48" s="148">
        <f>24.8*D48/200</f>
        <v>24.8</v>
      </c>
      <c r="T48" s="148">
        <f>0.48*D48/200</f>
        <v>0.48</v>
      </c>
      <c r="U48" s="150"/>
      <c r="V48" s="151"/>
      <c r="W48" s="151"/>
      <c r="X48" s="151"/>
    </row>
    <row r="49" spans="1:24" s="140" customFormat="1" ht="12.75" customHeight="1">
      <c r="A49" s="153" t="s">
        <v>67</v>
      </c>
      <c r="B49" s="221" t="s">
        <v>53</v>
      </c>
      <c r="C49" s="222"/>
      <c r="D49" s="147">
        <v>40</v>
      </c>
      <c r="E49" s="148">
        <v>3.08</v>
      </c>
      <c r="F49" s="148">
        <f>1.52*D49/30</f>
        <v>2.0266666666666664</v>
      </c>
      <c r="G49" s="149">
        <f>0.16*D49/30</f>
        <v>0.21333333333333335</v>
      </c>
      <c r="H49" s="149">
        <f>9.84*D49/30</f>
        <v>13.120000000000001</v>
      </c>
      <c r="I49" s="149">
        <f>F49*4+G49*9+H49*4</f>
        <v>62.50666666666667</v>
      </c>
      <c r="J49" s="149">
        <f>0.02*D49/30</f>
        <v>0.02666666666666667</v>
      </c>
      <c r="K49" s="149">
        <f>0.01*D49/30</f>
        <v>0.013333333333333334</v>
      </c>
      <c r="L49" s="149">
        <f>0.44*D49/30</f>
        <v>0.5866666666666667</v>
      </c>
      <c r="M49" s="149">
        <v>0</v>
      </c>
      <c r="N49" s="149">
        <f>0.7*D49/30</f>
        <v>0.9333333333333333</v>
      </c>
      <c r="O49" s="149">
        <f>4*D49/30</f>
        <v>5.333333333333333</v>
      </c>
      <c r="P49" s="149">
        <f>13*D49/30</f>
        <v>17.333333333333332</v>
      </c>
      <c r="Q49" s="149">
        <f>0.008*D49/30</f>
        <v>0.010666666666666666</v>
      </c>
      <c r="R49" s="149">
        <f>0.001*D49/30</f>
        <v>0.0013333333333333333</v>
      </c>
      <c r="S49" s="149">
        <v>0</v>
      </c>
      <c r="T49" s="149">
        <f>0.22*D49/30</f>
        <v>0.29333333333333333</v>
      </c>
      <c r="U49" s="150"/>
      <c r="V49" s="151"/>
      <c r="W49" s="151"/>
      <c r="X49" s="151"/>
    </row>
    <row r="50" spans="1:24" s="140" customFormat="1" ht="14.25" customHeight="1">
      <c r="A50" s="63" t="str">
        <f>A120</f>
        <v>Итого за Завтрак молочный</v>
      </c>
      <c r="B50" s="64"/>
      <c r="C50" s="64"/>
      <c r="D50" s="65">
        <f aca="true" t="shared" si="11" ref="D50:T50">SUM(D46:D49)</f>
        <v>435</v>
      </c>
      <c r="E50" s="154">
        <f t="shared" si="11"/>
        <v>70</v>
      </c>
      <c r="F50" s="39">
        <f t="shared" si="11"/>
        <v>21.69666666666667</v>
      </c>
      <c r="G50" s="38">
        <f t="shared" si="11"/>
        <v>18.293333333333337</v>
      </c>
      <c r="H50" s="49">
        <f t="shared" si="11"/>
        <v>79.63000000000001</v>
      </c>
      <c r="I50" s="38">
        <f t="shared" si="11"/>
        <v>569.9466666666667</v>
      </c>
      <c r="J50" s="39">
        <f t="shared" si="11"/>
        <v>0.3546666666666667</v>
      </c>
      <c r="K50" s="39">
        <f t="shared" si="11"/>
        <v>0.4343333333333333</v>
      </c>
      <c r="L50" s="39">
        <f t="shared" si="11"/>
        <v>3.281666666666667</v>
      </c>
      <c r="M50" s="39">
        <f t="shared" si="11"/>
        <v>0.261</v>
      </c>
      <c r="N50" s="40">
        <f t="shared" si="11"/>
        <v>2.7233333333333336</v>
      </c>
      <c r="O50" s="39">
        <f t="shared" si="11"/>
        <v>375.05333333333334</v>
      </c>
      <c r="P50" s="39">
        <f t="shared" si="11"/>
        <v>646.8333333333334</v>
      </c>
      <c r="Q50" s="39">
        <f t="shared" si="11"/>
        <v>2.3706666666666667</v>
      </c>
      <c r="R50" s="40">
        <f t="shared" si="11"/>
        <v>0.024333333333333332</v>
      </c>
      <c r="S50" s="39">
        <f t="shared" si="11"/>
        <v>124.34299999999999</v>
      </c>
      <c r="T50" s="39">
        <f t="shared" si="11"/>
        <v>3.336333333333333</v>
      </c>
      <c r="U50" s="38"/>
      <c r="V50" s="142"/>
      <c r="W50" s="142"/>
      <c r="X50" s="142"/>
    </row>
    <row r="51" spans="1:24" s="140" customFormat="1" ht="14.25" customHeight="1">
      <c r="A51" s="229" t="s">
        <v>63</v>
      </c>
      <c r="B51" s="230"/>
      <c r="C51" s="230"/>
      <c r="D51" s="231"/>
      <c r="E51" s="181"/>
      <c r="F51" s="76">
        <f aca="true" t="shared" si="12" ref="F51:T51">F50/F70</f>
        <v>0.2410740740740741</v>
      </c>
      <c r="G51" s="76">
        <f t="shared" si="12"/>
        <v>0.19884057971014496</v>
      </c>
      <c r="H51" s="76">
        <f t="shared" si="12"/>
        <v>0.20791122715404703</v>
      </c>
      <c r="I51" s="76">
        <f t="shared" si="12"/>
        <v>0.20953921568627454</v>
      </c>
      <c r="J51" s="76">
        <f t="shared" si="12"/>
        <v>0.25333333333333335</v>
      </c>
      <c r="K51" s="76">
        <f t="shared" si="12"/>
        <v>0.2714583333333333</v>
      </c>
      <c r="L51" s="76">
        <f t="shared" si="12"/>
        <v>0.04688095238095239</v>
      </c>
      <c r="M51" s="76">
        <f t="shared" si="12"/>
        <v>0.29</v>
      </c>
      <c r="N51" s="76">
        <f t="shared" si="12"/>
        <v>0.22694444444444448</v>
      </c>
      <c r="O51" s="44">
        <f t="shared" si="12"/>
        <v>0.31254444444444446</v>
      </c>
      <c r="P51" s="76">
        <f t="shared" si="12"/>
        <v>0.5390277777777778</v>
      </c>
      <c r="Q51" s="76">
        <f t="shared" si="12"/>
        <v>0.16933333333333334</v>
      </c>
      <c r="R51" s="76">
        <f t="shared" si="12"/>
        <v>0.24333333333333332</v>
      </c>
      <c r="S51" s="76">
        <f t="shared" si="12"/>
        <v>0.4144766666666666</v>
      </c>
      <c r="T51" s="44">
        <f t="shared" si="12"/>
        <v>0.18535185185185185</v>
      </c>
      <c r="U51" s="144"/>
      <c r="V51" s="142"/>
      <c r="W51" s="142"/>
      <c r="X51" s="142"/>
    </row>
    <row r="52" spans="1:24" s="140" customFormat="1" ht="11.25" customHeight="1">
      <c r="A52" s="232" t="s">
        <v>28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4"/>
      <c r="U52" s="11"/>
      <c r="V52" s="24"/>
      <c r="W52" s="24"/>
      <c r="X52" s="24"/>
    </row>
    <row r="53" spans="1:24" s="140" customFormat="1" ht="11.25" customHeight="1">
      <c r="A53" s="85" t="s">
        <v>87</v>
      </c>
      <c r="B53" s="289" t="s">
        <v>86</v>
      </c>
      <c r="C53" s="289"/>
      <c r="D53" s="85"/>
      <c r="E53" s="85"/>
      <c r="F53" s="92">
        <f>0.77*D53/60</f>
        <v>0</v>
      </c>
      <c r="G53" s="85">
        <f>2.04*D53/60</f>
        <v>0</v>
      </c>
      <c r="H53" s="91">
        <f>2.26*D53/60</f>
        <v>0</v>
      </c>
      <c r="I53" s="93">
        <f>F53*4+G53*9+H53*4</f>
        <v>0</v>
      </c>
      <c r="J53" s="91">
        <f>0.02*D53/60</f>
        <v>0</v>
      </c>
      <c r="K53" s="91">
        <f>0.02*D53/60</f>
        <v>0</v>
      </c>
      <c r="L53" s="85">
        <f>19.95*D53/60</f>
        <v>0</v>
      </c>
      <c r="M53" s="91">
        <f>0.01*D53/60</f>
        <v>0</v>
      </c>
      <c r="N53" s="91">
        <f>0.0787*D53/60</f>
        <v>0</v>
      </c>
      <c r="O53" s="92">
        <f>25.7*D53/60</f>
        <v>0</v>
      </c>
      <c r="P53" s="90">
        <f>13.62*D53/60</f>
        <v>0</v>
      </c>
      <c r="Q53" s="91">
        <f>0.17*D53/60</f>
        <v>0</v>
      </c>
      <c r="R53" s="85">
        <f>0.03*D53/60</f>
        <v>0</v>
      </c>
      <c r="S53" s="92">
        <f>9*D53/60</f>
        <v>0</v>
      </c>
      <c r="T53" s="92">
        <f>0.28*D53/60</f>
        <v>0</v>
      </c>
      <c r="U53" s="11"/>
      <c r="V53" s="24"/>
      <c r="W53" s="24"/>
      <c r="X53" s="24"/>
    </row>
    <row r="54" spans="1:24" s="140" customFormat="1" ht="13.5" customHeight="1">
      <c r="A54" s="153">
        <v>52</v>
      </c>
      <c r="B54" s="221" t="s">
        <v>54</v>
      </c>
      <c r="C54" s="222"/>
      <c r="D54" s="147">
        <v>100</v>
      </c>
      <c r="E54" s="148">
        <v>8.32</v>
      </c>
      <c r="F54" s="148">
        <f>0.86*D54/60</f>
        <v>1.4333333333333333</v>
      </c>
      <c r="G54" s="148">
        <f>3.05*D54/60</f>
        <v>5.083333333333333</v>
      </c>
      <c r="H54" s="148">
        <f>5.13*D54/60</f>
        <v>8.55</v>
      </c>
      <c r="I54" s="148">
        <f>F54*4+G54*9+H54*4</f>
        <v>85.68333333333334</v>
      </c>
      <c r="J54" s="148">
        <f>0.01*D54/60</f>
        <v>0.016666666666666666</v>
      </c>
      <c r="K54" s="148">
        <f>0.02*D54/60</f>
        <v>0.03333333333333333</v>
      </c>
      <c r="L54" s="146">
        <f>5.7*D54/60</f>
        <v>9.5</v>
      </c>
      <c r="M54" s="148">
        <f>0.01*D54/60</f>
        <v>0.016666666666666666</v>
      </c>
      <c r="N54" s="148">
        <f>0.1*D54/60</f>
        <v>0.16666666666666666</v>
      </c>
      <c r="O54" s="148">
        <f>26.61*D54/60</f>
        <v>44.35</v>
      </c>
      <c r="P54" s="148">
        <f>25.64*D54/60</f>
        <v>42.733333333333334</v>
      </c>
      <c r="Q54" s="148">
        <f>0.43*D54/60</f>
        <v>0.7166666666666667</v>
      </c>
      <c r="R54" s="149">
        <f>0.01*D54/60</f>
        <v>0.016666666666666666</v>
      </c>
      <c r="S54" s="146">
        <f>12.87*D54/60</f>
        <v>21.45</v>
      </c>
      <c r="T54" s="148">
        <f>0.84*D54/60</f>
        <v>1.4</v>
      </c>
      <c r="U54" s="150"/>
      <c r="V54" s="151"/>
      <c r="W54" s="151"/>
      <c r="X54" s="151"/>
    </row>
    <row r="55" spans="1:24" s="140" customFormat="1" ht="22.5" customHeight="1">
      <c r="A55" s="182">
        <v>82</v>
      </c>
      <c r="B55" s="221" t="s">
        <v>102</v>
      </c>
      <c r="C55" s="222"/>
      <c r="D55" s="145">
        <v>250</v>
      </c>
      <c r="E55" s="145">
        <v>13.62</v>
      </c>
      <c r="F55" s="148">
        <v>2.43</v>
      </c>
      <c r="G55" s="148">
        <v>3.12</v>
      </c>
      <c r="H55" s="148">
        <v>12.01</v>
      </c>
      <c r="I55" s="148">
        <f aca="true" t="shared" si="13" ref="I55:I60">F55*4+G55*9+H55*4</f>
        <v>85.84</v>
      </c>
      <c r="J55" s="145">
        <v>0.064</v>
      </c>
      <c r="K55" s="145">
        <v>0.064</v>
      </c>
      <c r="L55" s="148">
        <v>20.98</v>
      </c>
      <c r="M55" s="149">
        <v>0.076</v>
      </c>
      <c r="N55" s="148">
        <v>0.257</v>
      </c>
      <c r="O55" s="148">
        <v>49.59</v>
      </c>
      <c r="P55" s="148">
        <v>58.68</v>
      </c>
      <c r="Q55" s="148">
        <v>0.746</v>
      </c>
      <c r="R55" s="149">
        <v>0.011</v>
      </c>
      <c r="S55" s="148">
        <v>25.43</v>
      </c>
      <c r="T55" s="148">
        <v>1.32</v>
      </c>
      <c r="U55" s="150"/>
      <c r="V55" s="151"/>
      <c r="W55" s="151"/>
      <c r="X55" s="151"/>
    </row>
    <row r="56" spans="1:24" s="140" customFormat="1" ht="21.75" customHeight="1">
      <c r="A56" s="67">
        <v>268</v>
      </c>
      <c r="B56" s="221" t="s">
        <v>97</v>
      </c>
      <c r="C56" s="222"/>
      <c r="D56" s="79">
        <v>100</v>
      </c>
      <c r="E56" s="79">
        <v>47.22</v>
      </c>
      <c r="F56" s="178">
        <f>14.8*D56/80</f>
        <v>18.5</v>
      </c>
      <c r="G56" s="178">
        <f>20.69*D56/80</f>
        <v>25.8625</v>
      </c>
      <c r="H56" s="178">
        <f>3.81*D56/80</f>
        <v>4.7625</v>
      </c>
      <c r="I56" s="178">
        <f t="shared" si="13"/>
        <v>325.81250000000006</v>
      </c>
      <c r="J56" s="80">
        <f>0.18*D56/80</f>
        <v>0.225</v>
      </c>
      <c r="K56" s="178">
        <f>0.12*D56/80</f>
        <v>0.15</v>
      </c>
      <c r="L56" s="178">
        <f>0.43*D56/80</f>
        <v>0.5375</v>
      </c>
      <c r="M56" s="80">
        <v>0.099</v>
      </c>
      <c r="N56" s="80">
        <f>0.01*D56/80</f>
        <v>0.0125</v>
      </c>
      <c r="O56" s="178">
        <f>48.45*D56/80</f>
        <v>60.5625</v>
      </c>
      <c r="P56" s="178">
        <f>177.9*D56/80</f>
        <v>222.375</v>
      </c>
      <c r="Q56" s="80">
        <f>2.28*D56/80</f>
        <v>2.8499999999999996</v>
      </c>
      <c r="R56" s="80">
        <f>0.04*D56/80</f>
        <v>0.05</v>
      </c>
      <c r="S56" s="178">
        <f>24.45*D56/80</f>
        <v>30.5625</v>
      </c>
      <c r="T56" s="178">
        <f>1.93*D56/80</f>
        <v>2.4125</v>
      </c>
      <c r="U56" s="32"/>
      <c r="V56" s="33"/>
      <c r="W56" s="33"/>
      <c r="X56" s="33"/>
    </row>
    <row r="57" spans="1:24" s="140" customFormat="1" ht="19.5" customHeight="1">
      <c r="A57" s="182">
        <v>304</v>
      </c>
      <c r="B57" s="255" t="s">
        <v>104</v>
      </c>
      <c r="C57" s="255"/>
      <c r="D57" s="147">
        <v>180</v>
      </c>
      <c r="E57" s="148">
        <v>8.2</v>
      </c>
      <c r="F57" s="148">
        <v>4.44</v>
      </c>
      <c r="G57" s="148">
        <v>6.44</v>
      </c>
      <c r="H57" s="148">
        <v>44.01</v>
      </c>
      <c r="I57" s="148">
        <v>251.82</v>
      </c>
      <c r="J57" s="148">
        <v>0.036</v>
      </c>
      <c r="K57" s="145">
        <v>0.024</v>
      </c>
      <c r="L57" s="148">
        <v>0</v>
      </c>
      <c r="M57" s="145">
        <v>0.048</v>
      </c>
      <c r="N57" s="146">
        <v>0</v>
      </c>
      <c r="O57" s="146">
        <v>17.93</v>
      </c>
      <c r="P57" s="147">
        <v>95.25</v>
      </c>
      <c r="Q57" s="152">
        <v>0</v>
      </c>
      <c r="R57" s="146">
        <v>0.001</v>
      </c>
      <c r="S57" s="148">
        <v>33.47</v>
      </c>
      <c r="T57" s="150">
        <v>0.708</v>
      </c>
      <c r="U57" s="151"/>
      <c r="V57" s="151"/>
      <c r="W57" s="151"/>
      <c r="X57" s="151"/>
    </row>
    <row r="58" spans="1:24" ht="11.25">
      <c r="A58" s="189">
        <v>699</v>
      </c>
      <c r="B58" s="251" t="s">
        <v>114</v>
      </c>
      <c r="C58" s="252"/>
      <c r="D58" s="190">
        <v>200</v>
      </c>
      <c r="E58" s="191">
        <v>7.5</v>
      </c>
      <c r="F58" s="191">
        <v>0.1</v>
      </c>
      <c r="G58" s="192">
        <v>0</v>
      </c>
      <c r="H58" s="193">
        <v>15.7</v>
      </c>
      <c r="I58" s="191">
        <v>63.2</v>
      </c>
      <c r="J58" s="192">
        <v>0.018</v>
      </c>
      <c r="K58" s="192">
        <v>0.012</v>
      </c>
      <c r="L58" s="193">
        <v>8</v>
      </c>
      <c r="M58" s="192">
        <v>0</v>
      </c>
      <c r="N58" s="191">
        <v>0.2</v>
      </c>
      <c r="O58" s="191">
        <v>10.8</v>
      </c>
      <c r="P58" s="191">
        <v>1.7</v>
      </c>
      <c r="Q58" s="191">
        <v>0</v>
      </c>
      <c r="R58" s="194">
        <v>0</v>
      </c>
      <c r="S58" s="191">
        <v>5.8</v>
      </c>
      <c r="T58" s="191">
        <v>1.6</v>
      </c>
      <c r="U58"/>
      <c r="V58"/>
      <c r="W58"/>
      <c r="X58"/>
    </row>
    <row r="59" spans="1:24" s="140" customFormat="1" ht="11.25" customHeight="1">
      <c r="A59" s="78" t="s">
        <v>67</v>
      </c>
      <c r="B59" s="221" t="s">
        <v>46</v>
      </c>
      <c r="C59" s="222"/>
      <c r="D59" s="147">
        <v>40</v>
      </c>
      <c r="E59" s="148">
        <v>2.04</v>
      </c>
      <c r="F59" s="148">
        <f>2.64*D59/40</f>
        <v>2.64</v>
      </c>
      <c r="G59" s="148">
        <f>0.48*D59/40</f>
        <v>0.48</v>
      </c>
      <c r="H59" s="148">
        <f>13.68*D59/40</f>
        <v>13.680000000000001</v>
      </c>
      <c r="I59" s="148">
        <f t="shared" si="13"/>
        <v>69.60000000000001</v>
      </c>
      <c r="J59" s="145">
        <f>0.08*D59/40</f>
        <v>0.08</v>
      </c>
      <c r="K59" s="148">
        <f>0.04*D59/40</f>
        <v>0.04</v>
      </c>
      <c r="L59" s="147">
        <v>0</v>
      </c>
      <c r="M59" s="147">
        <v>0</v>
      </c>
      <c r="N59" s="148">
        <f>2.4*D59/40</f>
        <v>2.4</v>
      </c>
      <c r="O59" s="148">
        <f>14*D59/40</f>
        <v>14</v>
      </c>
      <c r="P59" s="148">
        <f>63.2*D59/40</f>
        <v>63.2</v>
      </c>
      <c r="Q59" s="148">
        <f>1.2*D59/40</f>
        <v>1.2</v>
      </c>
      <c r="R59" s="149">
        <f>0.001*D59/40</f>
        <v>0.001</v>
      </c>
      <c r="S59" s="148">
        <f>9.4*D59/40</f>
        <v>9.4</v>
      </c>
      <c r="T59" s="145">
        <f>0.78*D59/40</f>
        <v>0.78</v>
      </c>
      <c r="U59" s="30"/>
      <c r="V59" s="31"/>
      <c r="W59" s="31"/>
      <c r="X59" s="31"/>
    </row>
    <row r="60" spans="1:24" s="140" customFormat="1" ht="11.25" customHeight="1">
      <c r="A60" s="153" t="s">
        <v>67</v>
      </c>
      <c r="B60" s="221" t="s">
        <v>53</v>
      </c>
      <c r="C60" s="222"/>
      <c r="D60" s="147">
        <v>40</v>
      </c>
      <c r="E60" s="148">
        <v>3.1</v>
      </c>
      <c r="F60" s="148">
        <f>1.52*D60/30</f>
        <v>2.0266666666666664</v>
      </c>
      <c r="G60" s="149">
        <f>0.16*D60/30</f>
        <v>0.21333333333333335</v>
      </c>
      <c r="H60" s="149">
        <f>9.84*D60/30</f>
        <v>13.120000000000001</v>
      </c>
      <c r="I60" s="149">
        <f t="shared" si="13"/>
        <v>62.50666666666667</v>
      </c>
      <c r="J60" s="149">
        <f>0.02*D60/30</f>
        <v>0.02666666666666667</v>
      </c>
      <c r="K60" s="149">
        <f>0.01*D60/30</f>
        <v>0.013333333333333334</v>
      </c>
      <c r="L60" s="149">
        <f>0.44*D60/30</f>
        <v>0.5866666666666667</v>
      </c>
      <c r="M60" s="149">
        <v>0</v>
      </c>
      <c r="N60" s="149">
        <f>0.7*D60/30</f>
        <v>0.9333333333333333</v>
      </c>
      <c r="O60" s="149">
        <f>4*D60/30</f>
        <v>5.333333333333333</v>
      </c>
      <c r="P60" s="149">
        <f>13*D60/30</f>
        <v>17.333333333333332</v>
      </c>
      <c r="Q60" s="149">
        <f>0.008*D60/30</f>
        <v>0.010666666666666666</v>
      </c>
      <c r="R60" s="149">
        <f>0.001*D60/30</f>
        <v>0.0013333333333333333</v>
      </c>
      <c r="S60" s="149">
        <v>0</v>
      </c>
      <c r="T60" s="149">
        <f>0.22*D60/30</f>
        <v>0.29333333333333333</v>
      </c>
      <c r="U60" s="150"/>
      <c r="V60" s="151"/>
      <c r="W60" s="151"/>
      <c r="X60" s="151"/>
    </row>
    <row r="61" spans="1:24" s="140" customFormat="1" ht="11.25" customHeight="1">
      <c r="A61" s="61" t="s">
        <v>29</v>
      </c>
      <c r="B61" s="62"/>
      <c r="C61" s="62"/>
      <c r="D61" s="65">
        <f aca="true" t="shared" si="14" ref="D61:I61">SUM(D54:D60)</f>
        <v>910</v>
      </c>
      <c r="E61" s="154">
        <f t="shared" si="14"/>
        <v>90</v>
      </c>
      <c r="F61" s="39">
        <f t="shared" si="14"/>
        <v>31.570000000000004</v>
      </c>
      <c r="G61" s="38">
        <f t="shared" si="14"/>
        <v>41.199166666666656</v>
      </c>
      <c r="H61" s="38">
        <f t="shared" si="14"/>
        <v>111.83250000000001</v>
      </c>
      <c r="I61" s="38">
        <f t="shared" si="14"/>
        <v>944.4625000000002</v>
      </c>
      <c r="J61" s="39">
        <f aca="true" t="shared" si="15" ref="J61:S61">SUM(J54:J60)</f>
        <v>0.4663333333333333</v>
      </c>
      <c r="K61" s="39">
        <f t="shared" si="15"/>
        <v>0.3366666666666666</v>
      </c>
      <c r="L61" s="38">
        <f t="shared" si="15"/>
        <v>39.604166666666664</v>
      </c>
      <c r="M61" s="39">
        <f t="shared" si="15"/>
        <v>0.23966666666666664</v>
      </c>
      <c r="N61" s="43">
        <f t="shared" si="15"/>
        <v>3.9695</v>
      </c>
      <c r="O61" s="38">
        <f t="shared" si="15"/>
        <v>202.56583333333336</v>
      </c>
      <c r="P61" s="39">
        <f t="shared" si="15"/>
        <v>501.2716666666666</v>
      </c>
      <c r="Q61" s="38">
        <f t="shared" si="15"/>
        <v>5.523333333333333</v>
      </c>
      <c r="R61" s="40">
        <f t="shared" si="15"/>
        <v>0.081</v>
      </c>
      <c r="S61" s="49">
        <f t="shared" si="15"/>
        <v>126.1125</v>
      </c>
      <c r="T61" s="39">
        <f>SUM(T54:T60)</f>
        <v>8.513833333333332</v>
      </c>
      <c r="U61" s="38"/>
      <c r="V61" s="142"/>
      <c r="W61" s="142"/>
      <c r="X61" s="142"/>
    </row>
    <row r="62" spans="1:24" s="140" customFormat="1" ht="11.25" customHeight="1">
      <c r="A62" s="229" t="s">
        <v>63</v>
      </c>
      <c r="B62" s="230"/>
      <c r="C62" s="230"/>
      <c r="D62" s="231"/>
      <c r="E62" s="180"/>
      <c r="F62" s="155">
        <f aca="true" t="shared" si="16" ref="F62:T62">F61/F70</f>
        <v>0.3507777777777778</v>
      </c>
      <c r="G62" s="76">
        <f t="shared" si="16"/>
        <v>0.4478170289855071</v>
      </c>
      <c r="H62" s="76">
        <f t="shared" si="16"/>
        <v>0.291990861618799</v>
      </c>
      <c r="I62" s="76">
        <f t="shared" si="16"/>
        <v>0.3472288602941177</v>
      </c>
      <c r="J62" s="76">
        <f t="shared" si="16"/>
        <v>0.3330952380952381</v>
      </c>
      <c r="K62" s="76">
        <f t="shared" si="16"/>
        <v>0.2104166666666666</v>
      </c>
      <c r="L62" s="76">
        <f t="shared" si="16"/>
        <v>0.5657738095238095</v>
      </c>
      <c r="M62" s="76">
        <f t="shared" si="16"/>
        <v>0.26629629629629625</v>
      </c>
      <c r="N62" s="76">
        <f t="shared" si="16"/>
        <v>0.33079166666666665</v>
      </c>
      <c r="O62" s="44">
        <f t="shared" si="16"/>
        <v>0.16880486111111112</v>
      </c>
      <c r="P62" s="76">
        <f t="shared" si="16"/>
        <v>0.4177263888888888</v>
      </c>
      <c r="Q62" s="76">
        <f t="shared" si="16"/>
        <v>0.39452380952380955</v>
      </c>
      <c r="R62" s="76">
        <f t="shared" si="16"/>
        <v>0.8099999999999999</v>
      </c>
      <c r="S62" s="76">
        <f t="shared" si="16"/>
        <v>0.420375</v>
      </c>
      <c r="T62" s="44">
        <f t="shared" si="16"/>
        <v>0.4729907407407407</v>
      </c>
      <c r="U62" s="144"/>
      <c r="V62" s="142"/>
      <c r="W62" s="142"/>
      <c r="X62" s="142"/>
    </row>
    <row r="63" spans="1:24" s="140" customFormat="1" ht="11.25" customHeight="1" hidden="1">
      <c r="A63" s="179"/>
      <c r="B63" s="180"/>
      <c r="C63" s="180"/>
      <c r="D63" s="180"/>
      <c r="E63" s="171">
        <f>90-E61</f>
        <v>0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68"/>
      <c r="P63" s="155"/>
      <c r="Q63" s="155"/>
      <c r="R63" s="155"/>
      <c r="S63" s="155"/>
      <c r="T63" s="169"/>
      <c r="U63" s="144"/>
      <c r="V63" s="142"/>
      <c r="W63" s="142"/>
      <c r="X63" s="142"/>
    </row>
    <row r="64" spans="1:24" s="140" customFormat="1" ht="11.25" customHeight="1">
      <c r="A64" s="232" t="s">
        <v>30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4"/>
      <c r="U64" s="11"/>
      <c r="V64" s="24"/>
      <c r="W64" s="24"/>
      <c r="X64" s="24"/>
    </row>
    <row r="65" spans="1:20" s="129" customFormat="1" ht="11.25" customHeight="1">
      <c r="A65" s="135">
        <v>406</v>
      </c>
      <c r="B65" s="263" t="s">
        <v>122</v>
      </c>
      <c r="C65" s="263"/>
      <c r="D65" s="131">
        <v>60</v>
      </c>
      <c r="E65" s="130">
        <v>26.39</v>
      </c>
      <c r="F65" s="130">
        <v>11</v>
      </c>
      <c r="G65" s="203">
        <v>9.5</v>
      </c>
      <c r="H65" s="203">
        <v>31.5</v>
      </c>
      <c r="I65" s="130">
        <f>F65*4+G65*9+H65*4</f>
        <v>255.5</v>
      </c>
      <c r="J65" s="130">
        <v>0.1</v>
      </c>
      <c r="K65" s="130">
        <v>0.3</v>
      </c>
      <c r="L65" s="130">
        <v>0.6</v>
      </c>
      <c r="M65" s="130">
        <v>0.13</v>
      </c>
      <c r="N65" s="130">
        <v>1.8</v>
      </c>
      <c r="O65" s="130">
        <v>18.6</v>
      </c>
      <c r="P65" s="130">
        <v>113.8</v>
      </c>
      <c r="Q65" s="130">
        <v>1.63</v>
      </c>
      <c r="R65" s="130">
        <v>0.01</v>
      </c>
      <c r="S65" s="130">
        <v>17.4</v>
      </c>
      <c r="T65" s="130">
        <v>0.6</v>
      </c>
    </row>
    <row r="66" spans="1:20" s="129" customFormat="1" ht="12.75" customHeight="1">
      <c r="A66" s="205">
        <v>377</v>
      </c>
      <c r="B66" s="223" t="s">
        <v>45</v>
      </c>
      <c r="C66" s="223"/>
      <c r="D66" s="206">
        <v>200</v>
      </c>
      <c r="E66" s="136">
        <v>3.61</v>
      </c>
      <c r="F66" s="128">
        <v>0.26</v>
      </c>
      <c r="G66" s="128">
        <v>0.06</v>
      </c>
      <c r="H66" s="128">
        <v>15.22</v>
      </c>
      <c r="I66" s="128">
        <v>62.46</v>
      </c>
      <c r="J66" s="128">
        <v>0</v>
      </c>
      <c r="K66" s="128">
        <v>0.01</v>
      </c>
      <c r="L66" s="128">
        <v>2.9</v>
      </c>
      <c r="M66" s="128">
        <v>0</v>
      </c>
      <c r="N66" s="128">
        <v>0.06</v>
      </c>
      <c r="O66" s="128">
        <v>8.05</v>
      </c>
      <c r="P66" s="128">
        <v>9.78</v>
      </c>
      <c r="Q66" s="128">
        <v>0.017</v>
      </c>
      <c r="R66" s="128">
        <v>0</v>
      </c>
      <c r="S66" s="128">
        <v>5.24</v>
      </c>
      <c r="T66" s="128">
        <v>0.87</v>
      </c>
    </row>
    <row r="67" spans="1:24" s="1" customFormat="1" ht="11.25" customHeight="1">
      <c r="A67" s="61" t="s">
        <v>31</v>
      </c>
      <c r="B67" s="62"/>
      <c r="C67" s="62"/>
      <c r="D67" s="65">
        <f aca="true" t="shared" si="17" ref="D67:I67">SUM(D65:D66)</f>
        <v>260</v>
      </c>
      <c r="E67" s="154">
        <f t="shared" si="17"/>
        <v>30</v>
      </c>
      <c r="F67" s="39">
        <f t="shared" si="17"/>
        <v>11.26</v>
      </c>
      <c r="G67" s="38">
        <f t="shared" si="17"/>
        <v>9.56</v>
      </c>
      <c r="H67" s="38">
        <f t="shared" si="17"/>
        <v>46.72</v>
      </c>
      <c r="I67" s="38">
        <f t="shared" si="17"/>
        <v>317.96</v>
      </c>
      <c r="J67" s="39">
        <f aca="true" t="shared" si="18" ref="J67:T67">SUM(J65:J66)</f>
        <v>0.1</v>
      </c>
      <c r="K67" s="39">
        <f t="shared" si="18"/>
        <v>0.31</v>
      </c>
      <c r="L67" s="38">
        <f t="shared" si="18"/>
        <v>3.5</v>
      </c>
      <c r="M67" s="39">
        <f t="shared" si="18"/>
        <v>0.13</v>
      </c>
      <c r="N67" s="38">
        <f t="shared" si="18"/>
        <v>1.86</v>
      </c>
      <c r="O67" s="38">
        <f t="shared" si="18"/>
        <v>26.650000000000002</v>
      </c>
      <c r="P67" s="38">
        <f t="shared" si="18"/>
        <v>123.58</v>
      </c>
      <c r="Q67" s="38">
        <f t="shared" si="18"/>
        <v>1.6469999999999998</v>
      </c>
      <c r="R67" s="40">
        <f t="shared" si="18"/>
        <v>0.01</v>
      </c>
      <c r="S67" s="38">
        <f t="shared" si="18"/>
        <v>22.64</v>
      </c>
      <c r="T67" s="39">
        <f t="shared" si="18"/>
        <v>1.47</v>
      </c>
      <c r="U67" s="38"/>
      <c r="V67" s="142"/>
      <c r="W67" s="142"/>
      <c r="X67" s="142"/>
    </row>
    <row r="68" spans="1:24" s="1" customFormat="1" ht="11.25" customHeight="1">
      <c r="A68" s="229" t="s">
        <v>63</v>
      </c>
      <c r="B68" s="230"/>
      <c r="C68" s="230"/>
      <c r="D68" s="231"/>
      <c r="E68" s="181"/>
      <c r="F68" s="76">
        <f>F67/F70</f>
        <v>0.12511111111111112</v>
      </c>
      <c r="G68" s="76">
        <f aca="true" t="shared" si="19" ref="G68:T68">G67/G70</f>
        <v>0.10391304347826087</v>
      </c>
      <c r="H68" s="76">
        <f t="shared" si="19"/>
        <v>0.12198433420365536</v>
      </c>
      <c r="I68" s="76">
        <f t="shared" si="19"/>
        <v>0.11689705882352941</v>
      </c>
      <c r="J68" s="76">
        <f t="shared" si="19"/>
        <v>0.07142857142857144</v>
      </c>
      <c r="K68" s="76">
        <f t="shared" si="19"/>
        <v>0.19374999999999998</v>
      </c>
      <c r="L68" s="76">
        <f t="shared" si="19"/>
        <v>0.05</v>
      </c>
      <c r="M68" s="76">
        <f t="shared" si="19"/>
        <v>0.14444444444444446</v>
      </c>
      <c r="N68" s="76">
        <f t="shared" si="19"/>
        <v>0.155</v>
      </c>
      <c r="O68" s="76">
        <f t="shared" si="19"/>
        <v>0.022208333333333333</v>
      </c>
      <c r="P68" s="76">
        <f t="shared" si="19"/>
        <v>0.10298333333333333</v>
      </c>
      <c r="Q68" s="76">
        <f t="shared" si="19"/>
        <v>0.11764285714285713</v>
      </c>
      <c r="R68" s="76">
        <f t="shared" si="19"/>
        <v>0.09999999999999999</v>
      </c>
      <c r="S68" s="76">
        <f t="shared" si="19"/>
        <v>0.07546666666666667</v>
      </c>
      <c r="T68" s="44">
        <f t="shared" si="19"/>
        <v>0.08166666666666667</v>
      </c>
      <c r="U68" s="144"/>
      <c r="V68" s="142"/>
      <c r="W68" s="142"/>
      <c r="X68" s="142"/>
    </row>
    <row r="69" spans="1:24" s="1" customFormat="1" ht="11.25" customHeight="1">
      <c r="A69" s="259" t="s">
        <v>62</v>
      </c>
      <c r="B69" s="260"/>
      <c r="C69" s="260"/>
      <c r="D69" s="261"/>
      <c r="E69" s="174"/>
      <c r="F69" s="39">
        <f aca="true" t="shared" si="20" ref="F69:T69">SUM(F50,F61,F67)</f>
        <v>64.52666666666667</v>
      </c>
      <c r="G69" s="38">
        <f t="shared" si="20"/>
        <v>69.0525</v>
      </c>
      <c r="H69" s="38">
        <f t="shared" si="20"/>
        <v>238.18250000000003</v>
      </c>
      <c r="I69" s="38">
        <f t="shared" si="20"/>
        <v>1832.3691666666668</v>
      </c>
      <c r="J69" s="39">
        <f t="shared" si="20"/>
        <v>0.9209999999999999</v>
      </c>
      <c r="K69" s="39">
        <f t="shared" si="20"/>
        <v>1.081</v>
      </c>
      <c r="L69" s="49">
        <f t="shared" si="20"/>
        <v>46.38583333333333</v>
      </c>
      <c r="M69" s="39">
        <f t="shared" si="20"/>
        <v>0.6306666666666666</v>
      </c>
      <c r="N69" s="49">
        <f t="shared" si="20"/>
        <v>8.552833333333334</v>
      </c>
      <c r="O69" s="38">
        <f t="shared" si="20"/>
        <v>604.2691666666667</v>
      </c>
      <c r="P69" s="38">
        <f t="shared" si="20"/>
        <v>1271.685</v>
      </c>
      <c r="Q69" s="38">
        <f t="shared" si="20"/>
        <v>9.541</v>
      </c>
      <c r="R69" s="40">
        <f t="shared" si="20"/>
        <v>0.11533333333333333</v>
      </c>
      <c r="S69" s="39">
        <f t="shared" si="20"/>
        <v>273.09549999999996</v>
      </c>
      <c r="T69" s="39">
        <f t="shared" si="20"/>
        <v>13.320166666666667</v>
      </c>
      <c r="U69" s="42"/>
      <c r="V69" s="142"/>
      <c r="W69" s="142"/>
      <c r="X69" s="142"/>
    </row>
    <row r="70" spans="1:24" s="1" customFormat="1" ht="11.25" customHeight="1">
      <c r="A70" s="259" t="s">
        <v>64</v>
      </c>
      <c r="B70" s="260"/>
      <c r="C70" s="260"/>
      <c r="D70" s="261"/>
      <c r="E70" s="174"/>
      <c r="F70" s="148">
        <v>90</v>
      </c>
      <c r="G70" s="146">
        <v>92</v>
      </c>
      <c r="H70" s="146">
        <v>383</v>
      </c>
      <c r="I70" s="146">
        <v>2720</v>
      </c>
      <c r="J70" s="148">
        <v>1.4</v>
      </c>
      <c r="K70" s="148">
        <v>1.6</v>
      </c>
      <c r="L70" s="147">
        <v>70</v>
      </c>
      <c r="M70" s="148">
        <v>0.9</v>
      </c>
      <c r="N70" s="147">
        <v>12</v>
      </c>
      <c r="O70" s="147">
        <v>1200</v>
      </c>
      <c r="P70" s="147">
        <v>1200</v>
      </c>
      <c r="Q70" s="147">
        <v>14</v>
      </c>
      <c r="R70" s="146">
        <v>0.1</v>
      </c>
      <c r="S70" s="147">
        <v>300</v>
      </c>
      <c r="T70" s="148">
        <v>18</v>
      </c>
      <c r="U70" s="150"/>
      <c r="V70" s="151"/>
      <c r="W70" s="151"/>
      <c r="X70" s="151"/>
    </row>
    <row r="71" spans="1:24" s="8" customFormat="1" ht="11.25" customHeight="1">
      <c r="A71" s="229" t="s">
        <v>63</v>
      </c>
      <c r="B71" s="230"/>
      <c r="C71" s="230"/>
      <c r="D71" s="231"/>
      <c r="E71" s="181"/>
      <c r="F71" s="76">
        <f aca="true" t="shared" si="21" ref="F71:T71">F69/F70</f>
        <v>0.716962962962963</v>
      </c>
      <c r="G71" s="44">
        <f t="shared" si="21"/>
        <v>0.7505706521739129</v>
      </c>
      <c r="H71" s="44">
        <f t="shared" si="21"/>
        <v>0.6218864229765014</v>
      </c>
      <c r="I71" s="44">
        <f t="shared" si="21"/>
        <v>0.6736651348039217</v>
      </c>
      <c r="J71" s="44">
        <f t="shared" si="21"/>
        <v>0.6578571428571428</v>
      </c>
      <c r="K71" s="44">
        <f t="shared" si="21"/>
        <v>0.6756249999999999</v>
      </c>
      <c r="L71" s="44">
        <f t="shared" si="21"/>
        <v>0.6626547619047619</v>
      </c>
      <c r="M71" s="45">
        <f t="shared" si="21"/>
        <v>0.7007407407407407</v>
      </c>
      <c r="N71" s="44">
        <f t="shared" si="21"/>
        <v>0.7127361111111111</v>
      </c>
      <c r="O71" s="44">
        <f t="shared" si="21"/>
        <v>0.5035576388888889</v>
      </c>
      <c r="P71" s="44">
        <f t="shared" si="21"/>
        <v>1.0597375</v>
      </c>
      <c r="Q71" s="44">
        <f t="shared" si="21"/>
        <v>0.6815</v>
      </c>
      <c r="R71" s="45">
        <f t="shared" si="21"/>
        <v>1.1533333333333333</v>
      </c>
      <c r="S71" s="44">
        <f t="shared" si="21"/>
        <v>0.9103183333333332</v>
      </c>
      <c r="T71" s="45">
        <f t="shared" si="21"/>
        <v>0.7400092592592593</v>
      </c>
      <c r="U71" s="51"/>
      <c r="V71" s="52"/>
      <c r="W71" s="52"/>
      <c r="X71" s="52"/>
    </row>
    <row r="72" spans="1:24" s="1" customFormat="1" ht="11.25" customHeight="1">
      <c r="A72" s="54"/>
      <c r="B72" s="54"/>
      <c r="C72" s="110"/>
      <c r="D72" s="110"/>
      <c r="E72" s="117"/>
      <c r="F72" s="102"/>
      <c r="G72" s="71"/>
      <c r="H72" s="2"/>
      <c r="I72" s="2"/>
      <c r="J72" s="71"/>
      <c r="K72" s="71"/>
      <c r="L72" s="71"/>
      <c r="M72" s="269" t="s">
        <v>66</v>
      </c>
      <c r="N72" s="269"/>
      <c r="O72" s="269"/>
      <c r="P72" s="269"/>
      <c r="Q72" s="269"/>
      <c r="R72" s="269"/>
      <c r="S72" s="269"/>
      <c r="T72" s="269"/>
      <c r="U72" s="12"/>
      <c r="V72" s="19"/>
      <c r="W72" s="19"/>
      <c r="X72" s="19"/>
    </row>
    <row r="73" spans="1:24" s="1" customFormat="1" ht="11.25" customHeight="1">
      <c r="A73" s="54"/>
      <c r="B73" s="54"/>
      <c r="C73" s="110"/>
      <c r="D73" s="110"/>
      <c r="E73" s="117"/>
      <c r="F73" s="102"/>
      <c r="G73" s="71"/>
      <c r="H73" s="2"/>
      <c r="I73" s="2"/>
      <c r="J73" s="71"/>
      <c r="K73" s="71"/>
      <c r="L73" s="71"/>
      <c r="M73" s="111"/>
      <c r="N73" s="111"/>
      <c r="O73" s="111"/>
      <c r="P73" s="111"/>
      <c r="Q73" s="111"/>
      <c r="R73" s="111"/>
      <c r="S73" s="111"/>
      <c r="T73" s="111"/>
      <c r="U73" s="12"/>
      <c r="V73" s="19"/>
      <c r="W73" s="19"/>
      <c r="X73" s="19"/>
    </row>
    <row r="74" spans="1:24" s="1" customFormat="1" ht="11.25" customHeight="1">
      <c r="A74" s="262" t="s">
        <v>34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13"/>
      <c r="V74" s="25"/>
      <c r="W74" s="25"/>
      <c r="X74" s="25"/>
    </row>
    <row r="75" spans="1:24" s="1" customFormat="1" ht="11.25" customHeight="1">
      <c r="A75" s="58" t="s">
        <v>56</v>
      </c>
      <c r="B75" s="54"/>
      <c r="C75" s="54"/>
      <c r="D75" s="2"/>
      <c r="E75" s="2"/>
      <c r="F75" s="34"/>
      <c r="G75" s="240" t="s">
        <v>35</v>
      </c>
      <c r="H75" s="240"/>
      <c r="I75" s="240"/>
      <c r="J75" s="71"/>
      <c r="K75" s="71"/>
      <c r="L75" s="247" t="s">
        <v>2</v>
      </c>
      <c r="M75" s="247"/>
      <c r="N75" s="256"/>
      <c r="O75" s="256"/>
      <c r="P75" s="256"/>
      <c r="Q75" s="256"/>
      <c r="R75" s="71"/>
      <c r="S75" s="71"/>
      <c r="T75" s="71"/>
      <c r="U75" s="14"/>
      <c r="V75" s="20"/>
      <c r="W75" s="20"/>
      <c r="X75" s="20"/>
    </row>
    <row r="76" spans="1:24" s="1" customFormat="1" ht="11.25" customHeight="1">
      <c r="A76" s="54"/>
      <c r="B76" s="54"/>
      <c r="C76" s="54"/>
      <c r="D76" s="235" t="s">
        <v>3</v>
      </c>
      <c r="E76" s="235"/>
      <c r="F76" s="235"/>
      <c r="G76" s="7">
        <v>1</v>
      </c>
      <c r="H76" s="71"/>
      <c r="I76" s="2"/>
      <c r="J76" s="2"/>
      <c r="K76" s="2"/>
      <c r="L76" s="235" t="s">
        <v>4</v>
      </c>
      <c r="M76" s="235"/>
      <c r="N76" s="239" t="s">
        <v>57</v>
      </c>
      <c r="O76" s="239"/>
      <c r="P76" s="239"/>
      <c r="Q76" s="239"/>
      <c r="R76" s="239"/>
      <c r="S76" s="239"/>
      <c r="T76" s="239"/>
      <c r="U76" s="15"/>
      <c r="V76" s="21"/>
      <c r="W76" s="21"/>
      <c r="X76" s="21"/>
    </row>
    <row r="77" spans="1:24" s="1" customFormat="1" ht="21.75" customHeight="1">
      <c r="A77" s="241" t="s">
        <v>5</v>
      </c>
      <c r="B77" s="241" t="s">
        <v>6</v>
      </c>
      <c r="C77" s="241"/>
      <c r="D77" s="241" t="s">
        <v>7</v>
      </c>
      <c r="E77" s="175"/>
      <c r="F77" s="267" t="s">
        <v>8</v>
      </c>
      <c r="G77" s="267"/>
      <c r="H77" s="267"/>
      <c r="I77" s="241" t="s">
        <v>9</v>
      </c>
      <c r="J77" s="267" t="s">
        <v>10</v>
      </c>
      <c r="K77" s="267"/>
      <c r="L77" s="267"/>
      <c r="M77" s="267"/>
      <c r="N77" s="267"/>
      <c r="O77" s="267" t="s">
        <v>11</v>
      </c>
      <c r="P77" s="267"/>
      <c r="Q77" s="267"/>
      <c r="R77" s="267"/>
      <c r="S77" s="267"/>
      <c r="T77" s="267"/>
      <c r="U77" s="9"/>
      <c r="V77" s="22"/>
      <c r="W77" s="22"/>
      <c r="X77" s="22"/>
    </row>
    <row r="78" spans="1:24" s="1" customFormat="1" ht="21" customHeight="1">
      <c r="A78" s="242"/>
      <c r="B78" s="245"/>
      <c r="C78" s="246"/>
      <c r="D78" s="242"/>
      <c r="E78" s="176"/>
      <c r="F78" s="100" t="s">
        <v>12</v>
      </c>
      <c r="G78" s="177" t="s">
        <v>13</v>
      </c>
      <c r="H78" s="177" t="s">
        <v>14</v>
      </c>
      <c r="I78" s="242"/>
      <c r="J78" s="177" t="s">
        <v>15</v>
      </c>
      <c r="K78" s="177" t="s">
        <v>58</v>
      </c>
      <c r="L78" s="177" t="s">
        <v>16</v>
      </c>
      <c r="M78" s="177" t="s">
        <v>17</v>
      </c>
      <c r="N78" s="177" t="s">
        <v>18</v>
      </c>
      <c r="O78" s="177" t="s">
        <v>19</v>
      </c>
      <c r="P78" s="177" t="s">
        <v>20</v>
      </c>
      <c r="Q78" s="177" t="s">
        <v>59</v>
      </c>
      <c r="R78" s="177" t="s">
        <v>60</v>
      </c>
      <c r="S78" s="177" t="s">
        <v>21</v>
      </c>
      <c r="T78" s="177" t="s">
        <v>22</v>
      </c>
      <c r="U78" s="9"/>
      <c r="V78" s="22"/>
      <c r="W78" s="22"/>
      <c r="X78" s="22"/>
    </row>
    <row r="79" spans="1:24" s="1" customFormat="1" ht="11.25" customHeight="1">
      <c r="A79" s="182">
        <v>1</v>
      </c>
      <c r="B79" s="268">
        <v>2</v>
      </c>
      <c r="C79" s="268"/>
      <c r="D79" s="37">
        <v>3</v>
      </c>
      <c r="E79" s="37"/>
      <c r="F79" s="101">
        <v>4</v>
      </c>
      <c r="G79" s="37">
        <v>5</v>
      </c>
      <c r="H79" s="37">
        <v>6</v>
      </c>
      <c r="I79" s="37">
        <v>7</v>
      </c>
      <c r="J79" s="37">
        <v>8</v>
      </c>
      <c r="K79" s="37">
        <v>9</v>
      </c>
      <c r="L79" s="37">
        <v>10</v>
      </c>
      <c r="M79" s="37">
        <v>11</v>
      </c>
      <c r="N79" s="37">
        <v>12</v>
      </c>
      <c r="O79" s="37">
        <v>13</v>
      </c>
      <c r="P79" s="37">
        <v>14</v>
      </c>
      <c r="Q79" s="37">
        <v>15</v>
      </c>
      <c r="R79" s="37">
        <v>16</v>
      </c>
      <c r="S79" s="37">
        <v>17</v>
      </c>
      <c r="T79" s="37">
        <v>18</v>
      </c>
      <c r="U79" s="10"/>
      <c r="V79" s="23"/>
      <c r="W79" s="23"/>
      <c r="X79" s="23"/>
    </row>
    <row r="80" spans="1:24" s="1" customFormat="1" ht="11.25" customHeight="1">
      <c r="A80" s="232" t="s">
        <v>23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4"/>
      <c r="U80" s="11"/>
      <c r="V80" s="24"/>
      <c r="W80" s="24"/>
      <c r="X80" s="24"/>
    </row>
    <row r="81" spans="1:24" s="140" customFormat="1" ht="20.25" customHeight="1">
      <c r="A81" s="67">
        <v>71</v>
      </c>
      <c r="B81" s="221" t="s">
        <v>65</v>
      </c>
      <c r="C81" s="222"/>
      <c r="D81" s="79">
        <v>40</v>
      </c>
      <c r="E81" s="79">
        <v>9.22</v>
      </c>
      <c r="F81" s="178">
        <f>0.5*D81/60</f>
        <v>0.3333333333333333</v>
      </c>
      <c r="G81" s="178">
        <f>0.03*D81/30</f>
        <v>0.04</v>
      </c>
      <c r="H81" s="178">
        <f>1.7*D81/60</f>
        <v>1.1333333333333333</v>
      </c>
      <c r="I81" s="178">
        <f>F81*4+G81*9+H81*4</f>
        <v>6.226666666666667</v>
      </c>
      <c r="J81" s="80">
        <v>0.009</v>
      </c>
      <c r="K81" s="178">
        <v>0.01</v>
      </c>
      <c r="L81" s="81">
        <v>3</v>
      </c>
      <c r="M81" s="80">
        <v>0.003</v>
      </c>
      <c r="N81" s="79">
        <v>0.03</v>
      </c>
      <c r="O81" s="178">
        <v>6.9</v>
      </c>
      <c r="P81" s="178">
        <v>12.6</v>
      </c>
      <c r="Q81" s="80">
        <v>0.064</v>
      </c>
      <c r="R81" s="80">
        <v>0.001</v>
      </c>
      <c r="S81" s="178">
        <v>4.2</v>
      </c>
      <c r="T81" s="178">
        <v>0.18</v>
      </c>
      <c r="U81" s="32"/>
      <c r="V81" s="33"/>
      <c r="W81" s="33"/>
      <c r="X81" s="33"/>
    </row>
    <row r="82" spans="1:24" s="140" customFormat="1" ht="11.25" customHeight="1">
      <c r="A82" s="182">
        <v>291</v>
      </c>
      <c r="B82" s="221" t="s">
        <v>50</v>
      </c>
      <c r="C82" s="222"/>
      <c r="D82" s="147">
        <v>240</v>
      </c>
      <c r="E82" s="148">
        <v>45.63</v>
      </c>
      <c r="F82" s="148">
        <v>22.35</v>
      </c>
      <c r="G82" s="148">
        <v>26.13</v>
      </c>
      <c r="H82" s="148">
        <v>47.232</v>
      </c>
      <c r="I82" s="148">
        <v>513.57</v>
      </c>
      <c r="J82" s="148">
        <v>0.81</v>
      </c>
      <c r="K82" s="148">
        <v>0.79</v>
      </c>
      <c r="L82" s="148">
        <v>4.29</v>
      </c>
      <c r="M82" s="148">
        <v>0.46</v>
      </c>
      <c r="N82" s="145">
        <v>0</v>
      </c>
      <c r="O82" s="148">
        <v>44.29</v>
      </c>
      <c r="P82" s="148">
        <v>301.65</v>
      </c>
      <c r="Q82" s="147">
        <v>0</v>
      </c>
      <c r="R82" s="147">
        <v>0</v>
      </c>
      <c r="S82" s="148">
        <v>64.39</v>
      </c>
      <c r="T82" s="148">
        <v>2.77</v>
      </c>
      <c r="U82" s="150"/>
      <c r="V82" s="151"/>
      <c r="W82" s="151"/>
      <c r="X82" s="151"/>
    </row>
    <row r="83" spans="1:24" s="140" customFormat="1" ht="12.75" customHeight="1">
      <c r="A83" s="182">
        <v>379</v>
      </c>
      <c r="B83" s="221" t="s">
        <v>52</v>
      </c>
      <c r="C83" s="222"/>
      <c r="D83" s="147">
        <v>200</v>
      </c>
      <c r="E83" s="148">
        <v>12.05</v>
      </c>
      <c r="F83" s="148">
        <v>3.17</v>
      </c>
      <c r="G83" s="148">
        <v>2.68</v>
      </c>
      <c r="H83" s="148">
        <v>15.95</v>
      </c>
      <c r="I83" s="148">
        <f>F83*4+G83*9+H83*4</f>
        <v>100.6</v>
      </c>
      <c r="J83" s="148">
        <v>0.04</v>
      </c>
      <c r="K83" s="148">
        <v>0.15</v>
      </c>
      <c r="L83" s="148">
        <v>1.3</v>
      </c>
      <c r="M83" s="149">
        <v>0.03</v>
      </c>
      <c r="N83" s="145">
        <v>0.06</v>
      </c>
      <c r="O83" s="148">
        <v>120.4</v>
      </c>
      <c r="P83" s="146">
        <v>90</v>
      </c>
      <c r="Q83" s="148">
        <v>1.1</v>
      </c>
      <c r="R83" s="149">
        <v>0.01</v>
      </c>
      <c r="S83" s="148">
        <v>14</v>
      </c>
      <c r="T83" s="148">
        <v>0.12</v>
      </c>
      <c r="U83" s="150"/>
      <c r="V83" s="151"/>
      <c r="W83" s="151"/>
      <c r="X83" s="151"/>
    </row>
    <row r="84" spans="1:24" s="140" customFormat="1" ht="11.25" customHeight="1">
      <c r="A84" s="153" t="s">
        <v>67</v>
      </c>
      <c r="B84" s="221" t="s">
        <v>53</v>
      </c>
      <c r="C84" s="222"/>
      <c r="D84" s="147">
        <v>40</v>
      </c>
      <c r="E84" s="148">
        <v>3.1</v>
      </c>
      <c r="F84" s="148">
        <f>1.52*D84/30</f>
        <v>2.0266666666666664</v>
      </c>
      <c r="G84" s="149">
        <f>0.16*D84/30</f>
        <v>0.21333333333333335</v>
      </c>
      <c r="H84" s="149">
        <f>9.84*D84/30</f>
        <v>13.120000000000001</v>
      </c>
      <c r="I84" s="149">
        <f>F84*4+G84*9+H84*4</f>
        <v>62.50666666666667</v>
      </c>
      <c r="J84" s="149">
        <f>0.02*D84/30</f>
        <v>0.02666666666666667</v>
      </c>
      <c r="K84" s="149">
        <f>0.01*D84/30</f>
        <v>0.013333333333333334</v>
      </c>
      <c r="L84" s="149">
        <f>0.44*D84/30</f>
        <v>0.5866666666666667</v>
      </c>
      <c r="M84" s="149">
        <v>0</v>
      </c>
      <c r="N84" s="149">
        <f>0.7*D84/30</f>
        <v>0.9333333333333333</v>
      </c>
      <c r="O84" s="149">
        <f>4*D84/30</f>
        <v>5.333333333333333</v>
      </c>
      <c r="P84" s="149">
        <f>13*D84/30</f>
        <v>17.333333333333332</v>
      </c>
      <c r="Q84" s="149">
        <f>0.008*D84/30</f>
        <v>0.010666666666666666</v>
      </c>
      <c r="R84" s="149">
        <f>0.001*D84/30</f>
        <v>0.0013333333333333333</v>
      </c>
      <c r="S84" s="149">
        <v>0</v>
      </c>
      <c r="T84" s="149">
        <f>0.22*D84/30</f>
        <v>0.29333333333333333</v>
      </c>
      <c r="U84" s="150"/>
      <c r="V84" s="151"/>
      <c r="W84" s="151"/>
      <c r="X84" s="151"/>
    </row>
    <row r="85" spans="1:24" s="140" customFormat="1" ht="12" customHeight="1">
      <c r="A85" s="61" t="s">
        <v>25</v>
      </c>
      <c r="B85" s="62"/>
      <c r="C85" s="62"/>
      <c r="D85" s="60">
        <f aca="true" t="shared" si="22" ref="D85:T85">SUM(D81:D84)</f>
        <v>520</v>
      </c>
      <c r="E85" s="154">
        <f t="shared" si="22"/>
        <v>70</v>
      </c>
      <c r="F85" s="39">
        <f t="shared" si="22"/>
        <v>27.88</v>
      </c>
      <c r="G85" s="38">
        <f t="shared" si="22"/>
        <v>29.063333333333333</v>
      </c>
      <c r="H85" s="38">
        <f t="shared" si="22"/>
        <v>77.43533333333333</v>
      </c>
      <c r="I85" s="38">
        <f t="shared" si="22"/>
        <v>682.9033333333334</v>
      </c>
      <c r="J85" s="39">
        <f t="shared" si="22"/>
        <v>0.8856666666666667</v>
      </c>
      <c r="K85" s="39">
        <f t="shared" si="22"/>
        <v>0.9633333333333334</v>
      </c>
      <c r="L85" s="39">
        <f t="shared" si="22"/>
        <v>9.176666666666666</v>
      </c>
      <c r="M85" s="39">
        <f t="shared" si="22"/>
        <v>0.493</v>
      </c>
      <c r="N85" s="39">
        <f t="shared" si="22"/>
        <v>1.0233333333333334</v>
      </c>
      <c r="O85" s="39">
        <f t="shared" si="22"/>
        <v>176.92333333333335</v>
      </c>
      <c r="P85" s="39">
        <f t="shared" si="22"/>
        <v>421.5833333333333</v>
      </c>
      <c r="Q85" s="40">
        <f t="shared" si="22"/>
        <v>1.1746666666666667</v>
      </c>
      <c r="R85" s="40">
        <f t="shared" si="22"/>
        <v>0.012333333333333333</v>
      </c>
      <c r="S85" s="38">
        <f t="shared" si="22"/>
        <v>82.59</v>
      </c>
      <c r="T85" s="39">
        <f t="shared" si="22"/>
        <v>3.3633333333333337</v>
      </c>
      <c r="U85" s="38"/>
      <c r="V85" s="143"/>
      <c r="W85" s="143"/>
      <c r="X85" s="143"/>
    </row>
    <row r="86" spans="1:24" s="140" customFormat="1" ht="12" customHeight="1">
      <c r="A86" s="259" t="s">
        <v>63</v>
      </c>
      <c r="B86" s="260"/>
      <c r="C86" s="260"/>
      <c r="D86" s="261"/>
      <c r="E86" s="127"/>
      <c r="F86" s="157">
        <f aca="true" t="shared" si="23" ref="F86:T86">F85/F106</f>
        <v>0.30977777777777776</v>
      </c>
      <c r="G86" s="125">
        <f t="shared" si="23"/>
        <v>0.3159057971014493</v>
      </c>
      <c r="H86" s="125">
        <f t="shared" si="23"/>
        <v>0.20218102697998258</v>
      </c>
      <c r="I86" s="125">
        <f t="shared" si="23"/>
        <v>0.25106740196078436</v>
      </c>
      <c r="J86" s="125">
        <f t="shared" si="23"/>
        <v>0.6326190476190477</v>
      </c>
      <c r="K86" s="125">
        <f t="shared" si="23"/>
        <v>0.6020833333333333</v>
      </c>
      <c r="L86" s="125">
        <f t="shared" si="23"/>
        <v>0.13109523809523807</v>
      </c>
      <c r="M86" s="125">
        <f t="shared" si="23"/>
        <v>0.5477777777777778</v>
      </c>
      <c r="N86" s="125">
        <f t="shared" si="23"/>
        <v>0.08527777777777779</v>
      </c>
      <c r="O86" s="125">
        <f t="shared" si="23"/>
        <v>0.14743611111111113</v>
      </c>
      <c r="P86" s="125">
        <f t="shared" si="23"/>
        <v>0.3513194444444444</v>
      </c>
      <c r="Q86" s="125">
        <f t="shared" si="23"/>
        <v>0.08390476190476191</v>
      </c>
      <c r="R86" s="125">
        <f t="shared" si="23"/>
        <v>0.12333333333333332</v>
      </c>
      <c r="S86" s="125">
        <f t="shared" si="23"/>
        <v>0.2753</v>
      </c>
      <c r="T86" s="125">
        <f t="shared" si="23"/>
        <v>0.18685185185185188</v>
      </c>
      <c r="U86" s="144"/>
      <c r="V86" s="143"/>
      <c r="W86" s="143"/>
      <c r="X86" s="143"/>
    </row>
    <row r="87" spans="1:24" s="140" customFormat="1" ht="12" customHeight="1" hidden="1">
      <c r="A87" s="83" t="s">
        <v>78</v>
      </c>
      <c r="B87" s="84"/>
      <c r="C87" s="84"/>
      <c r="D87" s="173"/>
      <c r="E87" s="164">
        <f>70-E85</f>
        <v>0</v>
      </c>
      <c r="F87" s="124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44"/>
      <c r="V87" s="143"/>
      <c r="W87" s="143"/>
      <c r="X87" s="143"/>
    </row>
    <row r="88" spans="1:24" s="140" customFormat="1" ht="10.5" customHeight="1">
      <c r="A88" s="232" t="s">
        <v>28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4"/>
      <c r="U88" s="11"/>
      <c r="V88" s="24"/>
      <c r="W88" s="24"/>
      <c r="X88" s="24"/>
    </row>
    <row r="89" spans="1:24" s="140" customFormat="1" ht="18.75" customHeight="1">
      <c r="A89" s="196">
        <v>45</v>
      </c>
      <c r="B89" s="255" t="s">
        <v>89</v>
      </c>
      <c r="C89" s="255"/>
      <c r="D89" s="147">
        <v>100</v>
      </c>
      <c r="E89" s="148">
        <v>8.44</v>
      </c>
      <c r="F89" s="148">
        <f>0.9*D89/60</f>
        <v>1.5</v>
      </c>
      <c r="G89" s="148">
        <f>1.31*D89/60</f>
        <v>2.183333333333333</v>
      </c>
      <c r="H89" s="148">
        <f>5.6*D89/60</f>
        <v>9.333333333333334</v>
      </c>
      <c r="I89" s="148">
        <f>F89*4+G89*9+H89*4</f>
        <v>62.983333333333334</v>
      </c>
      <c r="J89" s="148">
        <f>0.06*D89/60</f>
        <v>0.1</v>
      </c>
      <c r="K89" s="148">
        <f>0.07*D89/60</f>
        <v>0.11666666666666668</v>
      </c>
      <c r="L89" s="148">
        <f>15.5*D89/60</f>
        <v>25.833333333333332</v>
      </c>
      <c r="M89" s="149">
        <f>0.071*D89/60</f>
        <v>0.11833333333333333</v>
      </c>
      <c r="N89" s="148">
        <f>0.3*D89/60</f>
        <v>0.5</v>
      </c>
      <c r="O89" s="148">
        <f>28.2*D89/60</f>
        <v>47</v>
      </c>
      <c r="P89" s="148">
        <f>18.9*D89/60</f>
        <v>31.499999999999996</v>
      </c>
      <c r="Q89" s="148">
        <f>0.2*D89/60</f>
        <v>0.3333333333333333</v>
      </c>
      <c r="R89" s="149">
        <f>0.001*D89/60</f>
        <v>0.0016666666666666668</v>
      </c>
      <c r="S89" s="148">
        <f>10.5*D89/60</f>
        <v>17.5</v>
      </c>
      <c r="T89" s="148">
        <f>0.6*D89/60</f>
        <v>1</v>
      </c>
      <c r="U89" s="150"/>
      <c r="V89" s="151"/>
      <c r="W89" s="151"/>
      <c r="X89" s="151"/>
    </row>
    <row r="90" spans="1:24" s="140" customFormat="1" ht="22.5" customHeight="1">
      <c r="A90" s="133">
        <v>103</v>
      </c>
      <c r="B90" s="275" t="s">
        <v>98</v>
      </c>
      <c r="C90" s="275"/>
      <c r="D90" s="134">
        <v>250</v>
      </c>
      <c r="E90" s="128">
        <v>9.68</v>
      </c>
      <c r="F90" s="128">
        <v>12.37</v>
      </c>
      <c r="G90" s="128">
        <v>11.12</v>
      </c>
      <c r="H90" s="128">
        <v>31.5</v>
      </c>
      <c r="I90" s="128">
        <v>275.62</v>
      </c>
      <c r="J90" s="128">
        <v>0.25</v>
      </c>
      <c r="K90" s="128">
        <v>0.063</v>
      </c>
      <c r="L90" s="128">
        <v>8.25</v>
      </c>
      <c r="M90" s="128">
        <v>0</v>
      </c>
      <c r="N90" s="128">
        <v>0</v>
      </c>
      <c r="O90" s="128">
        <v>49.37</v>
      </c>
      <c r="P90" s="128">
        <v>93.37</v>
      </c>
      <c r="Q90" s="128">
        <v>0</v>
      </c>
      <c r="R90" s="128">
        <v>0.001</v>
      </c>
      <c r="S90" s="128">
        <v>27.25</v>
      </c>
      <c r="T90" s="128">
        <v>0.37</v>
      </c>
      <c r="U90" s="150"/>
      <c r="V90" s="151"/>
      <c r="W90" s="151"/>
      <c r="X90" s="151"/>
    </row>
    <row r="91" spans="1:24" s="140" customFormat="1" ht="12" customHeight="1">
      <c r="A91" s="153">
        <v>232</v>
      </c>
      <c r="B91" s="221" t="s">
        <v>132</v>
      </c>
      <c r="C91" s="222"/>
      <c r="D91" s="147">
        <v>100</v>
      </c>
      <c r="E91" s="148">
        <v>32.87</v>
      </c>
      <c r="F91" s="148">
        <f>20.2*D91/100</f>
        <v>20.2</v>
      </c>
      <c r="G91" s="148">
        <f>12.07*D91/100</f>
        <v>12.07</v>
      </c>
      <c r="H91" s="148">
        <f>2.08*D91/100</f>
        <v>2.08</v>
      </c>
      <c r="I91" s="148">
        <f>F91*4+G91*9+H91*4</f>
        <v>197.75</v>
      </c>
      <c r="J91" s="148">
        <f>0.2*D91/100</f>
        <v>0.2</v>
      </c>
      <c r="K91" s="148">
        <f>0.17*D91/100</f>
        <v>0.17</v>
      </c>
      <c r="L91" s="148">
        <f>2.63*D91/100</f>
        <v>2.63</v>
      </c>
      <c r="M91" s="149">
        <f>D91*0.025/80</f>
        <v>0.03125</v>
      </c>
      <c r="N91" s="148">
        <v>0.3</v>
      </c>
      <c r="O91" s="148">
        <f>D91*68.89/80</f>
        <v>86.1125</v>
      </c>
      <c r="P91" s="148">
        <f>D91*33.41/80</f>
        <v>41.762499999999996</v>
      </c>
      <c r="Q91" s="146">
        <v>0.8</v>
      </c>
      <c r="R91" s="146">
        <v>0.04</v>
      </c>
      <c r="S91" s="148">
        <f>D91*23.17/80</f>
        <v>28.9625</v>
      </c>
      <c r="T91" s="148">
        <f>D91*0.73/80</f>
        <v>0.9125</v>
      </c>
      <c r="U91" s="150"/>
      <c r="V91" s="151"/>
      <c r="W91" s="151"/>
      <c r="X91" s="151"/>
    </row>
    <row r="92" spans="1:24" s="140" customFormat="1" ht="12" customHeight="1">
      <c r="A92" s="153">
        <v>312</v>
      </c>
      <c r="B92" s="221" t="s">
        <v>47</v>
      </c>
      <c r="C92" s="222"/>
      <c r="D92" s="147">
        <v>180</v>
      </c>
      <c r="E92" s="148">
        <v>19.11</v>
      </c>
      <c r="F92" s="148">
        <f>D92*3.29/150</f>
        <v>3.9480000000000004</v>
      </c>
      <c r="G92" s="148">
        <f>D92*7.06/150</f>
        <v>8.472</v>
      </c>
      <c r="H92" s="148">
        <f>D92*22.21/150</f>
        <v>26.652</v>
      </c>
      <c r="I92" s="148">
        <f>F92*4+G92*9+H92*4</f>
        <v>198.648</v>
      </c>
      <c r="J92" s="148">
        <f>D92*0.16/150</f>
        <v>0.192</v>
      </c>
      <c r="K92" s="148">
        <f>D92*0.13/150</f>
        <v>0.15600000000000003</v>
      </c>
      <c r="L92" s="148">
        <f>D92*0.73/150</f>
        <v>0.876</v>
      </c>
      <c r="M92" s="149">
        <f>D92*0.08/150</f>
        <v>0.096</v>
      </c>
      <c r="N92" s="145">
        <f>1.5*D92/150</f>
        <v>1.8</v>
      </c>
      <c r="O92" s="148">
        <f>D92*42.54/150</f>
        <v>51.048</v>
      </c>
      <c r="P92" s="146">
        <f>D92*97.75/150</f>
        <v>117.3</v>
      </c>
      <c r="Q92" s="149">
        <f>0.299*D92/150</f>
        <v>0.3588</v>
      </c>
      <c r="R92" s="149">
        <f>0.001*D92/150</f>
        <v>0.0012</v>
      </c>
      <c r="S92" s="148">
        <f>D92*33.06/150</f>
        <v>39.672000000000004</v>
      </c>
      <c r="T92" s="148">
        <f>D92*1.19/150</f>
        <v>1.428</v>
      </c>
      <c r="U92" s="150"/>
      <c r="V92" s="151"/>
      <c r="W92" s="151"/>
      <c r="X92" s="151"/>
    </row>
    <row r="93" spans="1:24" s="140" customFormat="1" ht="12" customHeight="1">
      <c r="A93" s="133">
        <v>699</v>
      </c>
      <c r="B93" s="275" t="s">
        <v>103</v>
      </c>
      <c r="C93" s="275"/>
      <c r="D93" s="137">
        <v>200</v>
      </c>
      <c r="E93" s="128">
        <v>4.75</v>
      </c>
      <c r="F93" s="128">
        <v>0.1</v>
      </c>
      <c r="G93" s="128">
        <v>0</v>
      </c>
      <c r="H93" s="128">
        <v>15.7</v>
      </c>
      <c r="I93" s="128">
        <v>63.2</v>
      </c>
      <c r="J93" s="128">
        <v>0.018</v>
      </c>
      <c r="K93" s="128">
        <v>0.012</v>
      </c>
      <c r="L93" s="128">
        <v>8</v>
      </c>
      <c r="M93" s="128">
        <v>0</v>
      </c>
      <c r="N93" s="128">
        <v>0.2</v>
      </c>
      <c r="O93" s="128">
        <v>10.8</v>
      </c>
      <c r="P93" s="128">
        <v>1.7</v>
      </c>
      <c r="Q93" s="128">
        <v>0</v>
      </c>
      <c r="R93" s="128">
        <v>0</v>
      </c>
      <c r="S93" s="128">
        <v>5.8</v>
      </c>
      <c r="T93" s="128">
        <v>1.6</v>
      </c>
      <c r="U93" s="150"/>
      <c r="V93" s="151"/>
      <c r="W93" s="151"/>
      <c r="X93" s="151"/>
    </row>
    <row r="94" spans="1:24" s="140" customFormat="1" ht="11.25" customHeight="1">
      <c r="A94" s="78" t="s">
        <v>67</v>
      </c>
      <c r="B94" s="221" t="s">
        <v>46</v>
      </c>
      <c r="C94" s="222"/>
      <c r="D94" s="147">
        <v>40</v>
      </c>
      <c r="E94" s="148">
        <v>2.04</v>
      </c>
      <c r="F94" s="148">
        <f>2.64*D94/40</f>
        <v>2.64</v>
      </c>
      <c r="G94" s="148">
        <f>0.48*D94/40</f>
        <v>0.48</v>
      </c>
      <c r="H94" s="148">
        <f>13.68*D94/40</f>
        <v>13.680000000000001</v>
      </c>
      <c r="I94" s="146">
        <f>F94*4+G94*9+H94*4</f>
        <v>69.60000000000001</v>
      </c>
      <c r="J94" s="145">
        <f>0.08*D94/40</f>
        <v>0.08</v>
      </c>
      <c r="K94" s="148">
        <f>0.04*D94/40</f>
        <v>0.04</v>
      </c>
      <c r="L94" s="147">
        <v>0</v>
      </c>
      <c r="M94" s="147">
        <v>0</v>
      </c>
      <c r="N94" s="148">
        <f>2.4*D94/40</f>
        <v>2.4</v>
      </c>
      <c r="O94" s="148">
        <f>14*D94/40</f>
        <v>14</v>
      </c>
      <c r="P94" s="148">
        <f>63.2*D94/40</f>
        <v>63.2</v>
      </c>
      <c r="Q94" s="148">
        <f>1.2*D94/40</f>
        <v>1.2</v>
      </c>
      <c r="R94" s="149">
        <f>0.001*D94/40</f>
        <v>0.001</v>
      </c>
      <c r="S94" s="148">
        <f>9.4*D94/40</f>
        <v>9.4</v>
      </c>
      <c r="T94" s="145">
        <f>0.78*D94/40</f>
        <v>0.78</v>
      </c>
      <c r="U94" s="30"/>
      <c r="V94" s="31"/>
      <c r="W94" s="31"/>
      <c r="X94" s="31"/>
    </row>
    <row r="95" spans="1:24" s="140" customFormat="1" ht="11.25" customHeight="1">
      <c r="A95" s="153" t="s">
        <v>67</v>
      </c>
      <c r="B95" s="221" t="s">
        <v>53</v>
      </c>
      <c r="C95" s="222"/>
      <c r="D95" s="147">
        <v>40</v>
      </c>
      <c r="E95" s="148">
        <v>3.1</v>
      </c>
      <c r="F95" s="148">
        <f>1.52*D95/30</f>
        <v>2.0266666666666664</v>
      </c>
      <c r="G95" s="149">
        <f>0.16*D95/30</f>
        <v>0.21333333333333335</v>
      </c>
      <c r="H95" s="149">
        <f>9.84*D95/30</f>
        <v>13.120000000000001</v>
      </c>
      <c r="I95" s="149">
        <f>F95*4+G95*9+H95*4</f>
        <v>62.50666666666667</v>
      </c>
      <c r="J95" s="149">
        <f>0.02*D95/30</f>
        <v>0.02666666666666667</v>
      </c>
      <c r="K95" s="149">
        <f>0.01*D95/30</f>
        <v>0.013333333333333334</v>
      </c>
      <c r="L95" s="149">
        <f>0.44*D95/30</f>
        <v>0.5866666666666667</v>
      </c>
      <c r="M95" s="149">
        <v>0</v>
      </c>
      <c r="N95" s="149">
        <f>0.7*D95/30</f>
        <v>0.9333333333333333</v>
      </c>
      <c r="O95" s="149">
        <f>4*D95/30</f>
        <v>5.333333333333333</v>
      </c>
      <c r="P95" s="149">
        <f>13*D95/30</f>
        <v>17.333333333333332</v>
      </c>
      <c r="Q95" s="149">
        <f>0.008*D95/30</f>
        <v>0.010666666666666666</v>
      </c>
      <c r="R95" s="149">
        <f>0.001*D95/30</f>
        <v>0.0013333333333333333</v>
      </c>
      <c r="S95" s="149">
        <v>0</v>
      </c>
      <c r="T95" s="149">
        <f>0.22*D95/30</f>
        <v>0.29333333333333333</v>
      </c>
      <c r="U95" s="150"/>
      <c r="V95" s="151"/>
      <c r="W95" s="151"/>
      <c r="X95" s="151"/>
    </row>
    <row r="96" spans="1:24" ht="11.25">
      <c r="A96" s="184" t="s">
        <v>67</v>
      </c>
      <c r="B96" s="274" t="s">
        <v>113</v>
      </c>
      <c r="C96" s="252"/>
      <c r="D96" s="184">
        <v>40</v>
      </c>
      <c r="E96" s="185">
        <v>10.01</v>
      </c>
      <c r="F96" s="185">
        <v>0.65</v>
      </c>
      <c r="G96" s="186">
        <v>3.8</v>
      </c>
      <c r="H96" s="187">
        <v>17.6</v>
      </c>
      <c r="I96" s="185">
        <v>38</v>
      </c>
      <c r="J96" s="185">
        <v>0.026</v>
      </c>
      <c r="K96" s="185">
        <v>0.03</v>
      </c>
      <c r="L96" s="185">
        <v>0.13</v>
      </c>
      <c r="M96" s="185">
        <v>11.96</v>
      </c>
      <c r="N96" s="186">
        <v>0.39</v>
      </c>
      <c r="O96" s="185">
        <v>24.18</v>
      </c>
      <c r="P96" s="185">
        <v>49.4</v>
      </c>
      <c r="Q96" s="188">
        <v>0.2</v>
      </c>
      <c r="R96" s="185">
        <v>0.002</v>
      </c>
      <c r="S96" s="185">
        <v>18.72</v>
      </c>
      <c r="T96" s="185">
        <v>0.182</v>
      </c>
      <c r="U96"/>
      <c r="V96"/>
      <c r="W96"/>
      <c r="X96"/>
    </row>
    <row r="97" spans="1:24" s="140" customFormat="1" ht="11.25" customHeight="1">
      <c r="A97" s="61" t="s">
        <v>29</v>
      </c>
      <c r="B97" s="62"/>
      <c r="C97" s="62"/>
      <c r="D97" s="65">
        <f>SUM(D89:D96)</f>
        <v>950</v>
      </c>
      <c r="E97" s="154">
        <f>SUM(E89:E96)</f>
        <v>90</v>
      </c>
      <c r="F97" s="39">
        <f>SUM(F89:F95)</f>
        <v>42.784666666666666</v>
      </c>
      <c r="G97" s="38">
        <f>SUM(G89:G95)</f>
        <v>34.538666666666664</v>
      </c>
      <c r="H97" s="38">
        <f>SUM(H89:H95)</f>
        <v>112.06533333333336</v>
      </c>
      <c r="I97" s="38">
        <f>SUM(I89:I95)</f>
        <v>930.3080000000001</v>
      </c>
      <c r="J97" s="39">
        <f aca="true" t="shared" si="24" ref="J97:T97">SUM(J89:J95)</f>
        <v>0.8666666666666666</v>
      </c>
      <c r="K97" s="39">
        <f t="shared" si="24"/>
        <v>0.5710000000000001</v>
      </c>
      <c r="L97" s="39">
        <f t="shared" si="24"/>
        <v>46.175999999999995</v>
      </c>
      <c r="M97" s="39">
        <f t="shared" si="24"/>
        <v>0.24558333333333335</v>
      </c>
      <c r="N97" s="39">
        <f t="shared" si="24"/>
        <v>6.133333333333334</v>
      </c>
      <c r="O97" s="39">
        <f t="shared" si="24"/>
        <v>263.66383333333334</v>
      </c>
      <c r="P97" s="39">
        <f t="shared" si="24"/>
        <v>366.1658333333333</v>
      </c>
      <c r="Q97" s="39">
        <f t="shared" si="24"/>
        <v>2.7028000000000003</v>
      </c>
      <c r="R97" s="40">
        <f t="shared" si="24"/>
        <v>0.0462</v>
      </c>
      <c r="S97" s="39">
        <f t="shared" si="24"/>
        <v>128.5845</v>
      </c>
      <c r="T97" s="39">
        <f t="shared" si="24"/>
        <v>6.3838333333333335</v>
      </c>
      <c r="U97" s="38"/>
      <c r="V97" s="143"/>
      <c r="W97" s="143"/>
      <c r="X97" s="143"/>
    </row>
    <row r="98" spans="1:24" s="140" customFormat="1" ht="11.25" customHeight="1">
      <c r="A98" s="259" t="s">
        <v>63</v>
      </c>
      <c r="B98" s="260"/>
      <c r="C98" s="260"/>
      <c r="D98" s="261"/>
      <c r="E98" s="127"/>
      <c r="F98" s="157">
        <f aca="true" t="shared" si="25" ref="F98:T98">F97/F106</f>
        <v>0.4753851851851852</v>
      </c>
      <c r="G98" s="123">
        <f t="shared" si="25"/>
        <v>0.3754202898550724</v>
      </c>
      <c r="H98" s="123">
        <f t="shared" si="25"/>
        <v>0.29259878154917324</v>
      </c>
      <c r="I98" s="123">
        <f t="shared" si="25"/>
        <v>0.342025</v>
      </c>
      <c r="J98" s="123">
        <f t="shared" si="25"/>
        <v>0.6190476190476191</v>
      </c>
      <c r="K98" s="123">
        <f t="shared" si="25"/>
        <v>0.356875</v>
      </c>
      <c r="L98" s="123">
        <f t="shared" si="25"/>
        <v>0.6596571428571428</v>
      </c>
      <c r="M98" s="123">
        <f t="shared" si="25"/>
        <v>0.2728703703703704</v>
      </c>
      <c r="N98" s="123">
        <f t="shared" si="25"/>
        <v>0.5111111111111112</v>
      </c>
      <c r="O98" s="123">
        <f t="shared" si="25"/>
        <v>0.2197198611111111</v>
      </c>
      <c r="P98" s="123">
        <f t="shared" si="25"/>
        <v>0.3051381944444444</v>
      </c>
      <c r="Q98" s="123">
        <f t="shared" si="25"/>
        <v>0.19305714285714287</v>
      </c>
      <c r="R98" s="123">
        <f t="shared" si="25"/>
        <v>0.46199999999999997</v>
      </c>
      <c r="S98" s="123">
        <f t="shared" si="25"/>
        <v>0.42861499999999997</v>
      </c>
      <c r="T98" s="123">
        <f t="shared" si="25"/>
        <v>0.3546574074074074</v>
      </c>
      <c r="U98" s="144"/>
      <c r="V98" s="143"/>
      <c r="W98" s="143"/>
      <c r="X98" s="143"/>
    </row>
    <row r="99" spans="1:24" s="140" customFormat="1" ht="11.25" customHeight="1" hidden="1">
      <c r="A99" s="172"/>
      <c r="B99" s="173"/>
      <c r="C99" s="173"/>
      <c r="D99" s="173"/>
      <c r="E99" s="167">
        <f>90-E97</f>
        <v>0</v>
      </c>
      <c r="F99" s="157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6"/>
      <c r="U99" s="144"/>
      <c r="V99" s="143"/>
      <c r="W99" s="143"/>
      <c r="X99" s="143"/>
    </row>
    <row r="100" spans="1:24" s="140" customFormat="1" ht="11.25" customHeight="1">
      <c r="A100" s="232" t="s">
        <v>30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4"/>
      <c r="U100" s="11"/>
      <c r="V100" s="24"/>
      <c r="W100" s="24"/>
      <c r="X100" s="24"/>
    </row>
    <row r="101" spans="1:20" s="129" customFormat="1" ht="12" customHeight="1">
      <c r="A101" s="135"/>
      <c r="B101" s="263" t="s">
        <v>125</v>
      </c>
      <c r="C101" s="263"/>
      <c r="D101" s="131">
        <v>75</v>
      </c>
      <c r="E101" s="130">
        <v>25.27</v>
      </c>
      <c r="F101" s="130">
        <v>11</v>
      </c>
      <c r="G101" s="203">
        <v>9.5</v>
      </c>
      <c r="H101" s="203">
        <v>31.5</v>
      </c>
      <c r="I101" s="130">
        <v>255.5</v>
      </c>
      <c r="J101" s="130">
        <v>0.1</v>
      </c>
      <c r="K101" s="130">
        <v>0.3</v>
      </c>
      <c r="L101" s="130">
        <v>0.6</v>
      </c>
      <c r="M101" s="130">
        <v>0.13</v>
      </c>
      <c r="N101" s="130">
        <v>1.8</v>
      </c>
      <c r="O101" s="130">
        <v>18.6</v>
      </c>
      <c r="P101" s="130">
        <v>113.8</v>
      </c>
      <c r="Q101" s="130">
        <v>1.63</v>
      </c>
      <c r="R101" s="130">
        <v>0.01</v>
      </c>
      <c r="S101" s="130">
        <v>17.4</v>
      </c>
      <c r="T101" s="130">
        <v>0.6</v>
      </c>
    </row>
    <row r="102" spans="1:24" s="140" customFormat="1" ht="21.75" customHeight="1">
      <c r="A102" s="153">
        <v>349</v>
      </c>
      <c r="B102" s="221" t="s">
        <v>99</v>
      </c>
      <c r="C102" s="222"/>
      <c r="D102" s="147">
        <v>200</v>
      </c>
      <c r="E102" s="148">
        <v>4.73</v>
      </c>
      <c r="F102" s="148">
        <v>0.22</v>
      </c>
      <c r="G102" s="145"/>
      <c r="H102" s="148">
        <v>24.42</v>
      </c>
      <c r="I102" s="148">
        <f>F102*4+G102*9+H102*4</f>
        <v>98.56</v>
      </c>
      <c r="J102" s="145"/>
      <c r="K102" s="145"/>
      <c r="L102" s="148">
        <v>26.11</v>
      </c>
      <c r="M102" s="145"/>
      <c r="N102" s="145"/>
      <c r="O102" s="146">
        <v>22.6</v>
      </c>
      <c r="P102" s="146">
        <v>7.7</v>
      </c>
      <c r="Q102" s="147">
        <v>0</v>
      </c>
      <c r="R102" s="147">
        <v>0</v>
      </c>
      <c r="S102" s="146">
        <v>3</v>
      </c>
      <c r="T102" s="148">
        <v>0.66</v>
      </c>
      <c r="U102" s="150"/>
      <c r="V102" s="151"/>
      <c r="W102" s="151"/>
      <c r="X102" s="151"/>
    </row>
    <row r="103" spans="1:24" s="1" customFormat="1" ht="11.25" customHeight="1">
      <c r="A103" s="61" t="s">
        <v>31</v>
      </c>
      <c r="B103" s="62"/>
      <c r="C103" s="62"/>
      <c r="D103" s="65">
        <f aca="true" t="shared" si="26" ref="D103:T103">SUM(D101:D102)</f>
        <v>275</v>
      </c>
      <c r="E103" s="154">
        <f t="shared" si="26"/>
        <v>30</v>
      </c>
      <c r="F103" s="39">
        <f t="shared" si="26"/>
        <v>11.22</v>
      </c>
      <c r="G103" s="38">
        <f t="shared" si="26"/>
        <v>9.5</v>
      </c>
      <c r="H103" s="38">
        <f t="shared" si="26"/>
        <v>55.92</v>
      </c>
      <c r="I103" s="38">
        <f t="shared" si="26"/>
        <v>354.06</v>
      </c>
      <c r="J103" s="38">
        <f t="shared" si="26"/>
        <v>0.1</v>
      </c>
      <c r="K103" s="38">
        <f t="shared" si="26"/>
        <v>0.3</v>
      </c>
      <c r="L103" s="38">
        <f t="shared" si="26"/>
        <v>26.71</v>
      </c>
      <c r="M103" s="38">
        <f t="shared" si="26"/>
        <v>0.13</v>
      </c>
      <c r="N103" s="38">
        <f t="shared" si="26"/>
        <v>1.8</v>
      </c>
      <c r="O103" s="38">
        <f t="shared" si="26"/>
        <v>41.2</v>
      </c>
      <c r="P103" s="38">
        <f t="shared" si="26"/>
        <v>121.5</v>
      </c>
      <c r="Q103" s="38">
        <f t="shared" si="26"/>
        <v>1.63</v>
      </c>
      <c r="R103" s="38">
        <f t="shared" si="26"/>
        <v>0.01</v>
      </c>
      <c r="S103" s="38">
        <f t="shared" si="26"/>
        <v>20.4</v>
      </c>
      <c r="T103" s="38">
        <f t="shared" si="26"/>
        <v>1.26</v>
      </c>
      <c r="U103" s="38"/>
      <c r="V103" s="143"/>
      <c r="W103" s="143"/>
      <c r="X103" s="143"/>
    </row>
    <row r="104" spans="1:24" s="1" customFormat="1" ht="11.25" customHeight="1">
      <c r="A104" s="259" t="s">
        <v>63</v>
      </c>
      <c r="B104" s="260"/>
      <c r="C104" s="260"/>
      <c r="D104" s="261"/>
      <c r="E104" s="127"/>
      <c r="F104" s="157">
        <f>F103/F106</f>
        <v>0.12466666666666668</v>
      </c>
      <c r="G104" s="126">
        <f aca="true" t="shared" si="27" ref="G104:T104">G103/G106</f>
        <v>0.10326086956521739</v>
      </c>
      <c r="H104" s="126">
        <f t="shared" si="27"/>
        <v>0.14600522193211488</v>
      </c>
      <c r="I104" s="126">
        <f t="shared" si="27"/>
        <v>0.13016911764705882</v>
      </c>
      <c r="J104" s="126">
        <f t="shared" si="27"/>
        <v>0.07142857142857144</v>
      </c>
      <c r="K104" s="126">
        <f t="shared" si="27"/>
        <v>0.18749999999999997</v>
      </c>
      <c r="L104" s="126">
        <f t="shared" si="27"/>
        <v>0.38157142857142856</v>
      </c>
      <c r="M104" s="126">
        <f t="shared" si="27"/>
        <v>0.14444444444444446</v>
      </c>
      <c r="N104" s="126">
        <f t="shared" si="27"/>
        <v>0.15</v>
      </c>
      <c r="O104" s="126">
        <f t="shared" si="27"/>
        <v>0.034333333333333334</v>
      </c>
      <c r="P104" s="126">
        <f t="shared" si="27"/>
        <v>0.10125</v>
      </c>
      <c r="Q104" s="126">
        <f t="shared" si="27"/>
        <v>0.11642857142857142</v>
      </c>
      <c r="R104" s="126">
        <f t="shared" si="27"/>
        <v>0.09999999999999999</v>
      </c>
      <c r="S104" s="126">
        <f t="shared" si="27"/>
        <v>0.06799999999999999</v>
      </c>
      <c r="T104" s="126">
        <f t="shared" si="27"/>
        <v>0.07</v>
      </c>
      <c r="U104" s="59"/>
      <c r="V104" s="143"/>
      <c r="W104" s="143"/>
      <c r="X104" s="143"/>
    </row>
    <row r="105" spans="1:24" s="1" customFormat="1" ht="11.25" customHeight="1">
      <c r="A105" s="259" t="s">
        <v>62</v>
      </c>
      <c r="B105" s="260"/>
      <c r="C105" s="260"/>
      <c r="D105" s="261"/>
      <c r="E105" s="174"/>
      <c r="F105" s="39">
        <f aca="true" t="shared" si="28" ref="F105:T105">SUM(F85,F97,F103)</f>
        <v>81.88466666666666</v>
      </c>
      <c r="G105" s="38">
        <f t="shared" si="28"/>
        <v>73.102</v>
      </c>
      <c r="H105" s="38">
        <f t="shared" si="28"/>
        <v>245.4206666666667</v>
      </c>
      <c r="I105" s="38">
        <f t="shared" si="28"/>
        <v>1967.2713333333336</v>
      </c>
      <c r="J105" s="39">
        <f t="shared" si="28"/>
        <v>1.8523333333333334</v>
      </c>
      <c r="K105" s="39">
        <f t="shared" si="28"/>
        <v>1.8343333333333336</v>
      </c>
      <c r="L105" s="49">
        <f t="shared" si="28"/>
        <v>82.06266666666667</v>
      </c>
      <c r="M105" s="39">
        <f t="shared" si="28"/>
        <v>0.8685833333333334</v>
      </c>
      <c r="N105" s="49">
        <f t="shared" si="28"/>
        <v>8.956666666666667</v>
      </c>
      <c r="O105" s="38">
        <f t="shared" si="28"/>
        <v>481.7871666666667</v>
      </c>
      <c r="P105" s="39">
        <f t="shared" si="28"/>
        <v>909.2491666666666</v>
      </c>
      <c r="Q105" s="38">
        <f t="shared" si="28"/>
        <v>5.507466666666667</v>
      </c>
      <c r="R105" s="40">
        <f t="shared" si="28"/>
        <v>0.06853333333333333</v>
      </c>
      <c r="S105" s="39">
        <f t="shared" si="28"/>
        <v>231.5745</v>
      </c>
      <c r="T105" s="39">
        <f t="shared" si="28"/>
        <v>11.007166666666667</v>
      </c>
      <c r="U105" s="50"/>
      <c r="V105" s="142"/>
      <c r="W105" s="142"/>
      <c r="X105" s="142"/>
    </row>
    <row r="106" spans="1:24" s="1" customFormat="1" ht="11.25" customHeight="1">
      <c r="A106" s="259" t="s">
        <v>64</v>
      </c>
      <c r="B106" s="260"/>
      <c r="C106" s="260"/>
      <c r="D106" s="261"/>
      <c r="E106" s="174"/>
      <c r="F106" s="148">
        <v>90</v>
      </c>
      <c r="G106" s="146">
        <v>92</v>
      </c>
      <c r="H106" s="146">
        <v>383</v>
      </c>
      <c r="I106" s="146">
        <v>2720</v>
      </c>
      <c r="J106" s="148">
        <v>1.4</v>
      </c>
      <c r="K106" s="148">
        <v>1.6</v>
      </c>
      <c r="L106" s="147">
        <v>70</v>
      </c>
      <c r="M106" s="148">
        <v>0.9</v>
      </c>
      <c r="N106" s="147">
        <v>12</v>
      </c>
      <c r="O106" s="147">
        <v>1200</v>
      </c>
      <c r="P106" s="147">
        <v>1200</v>
      </c>
      <c r="Q106" s="147">
        <v>14</v>
      </c>
      <c r="R106" s="146">
        <v>0.1</v>
      </c>
      <c r="S106" s="147">
        <v>300</v>
      </c>
      <c r="T106" s="148">
        <v>18</v>
      </c>
      <c r="U106" s="150"/>
      <c r="V106" s="151"/>
      <c r="W106" s="151"/>
      <c r="X106" s="151"/>
    </row>
    <row r="107" spans="1:24" s="8" customFormat="1" ht="11.25" customHeight="1">
      <c r="A107" s="229" t="s">
        <v>63</v>
      </c>
      <c r="B107" s="230"/>
      <c r="C107" s="230"/>
      <c r="D107" s="231"/>
      <c r="E107" s="181"/>
      <c r="F107" s="76">
        <f aca="true" t="shared" si="29" ref="F107:T107">F105/F106</f>
        <v>0.9098296296296295</v>
      </c>
      <c r="G107" s="44">
        <f t="shared" si="29"/>
        <v>0.7945869565217392</v>
      </c>
      <c r="H107" s="44">
        <f t="shared" si="29"/>
        <v>0.6407850304612708</v>
      </c>
      <c r="I107" s="44">
        <f t="shared" si="29"/>
        <v>0.7232615196078432</v>
      </c>
      <c r="J107" s="44">
        <f t="shared" si="29"/>
        <v>1.3230952380952383</v>
      </c>
      <c r="K107" s="44">
        <f t="shared" si="29"/>
        <v>1.1464583333333334</v>
      </c>
      <c r="L107" s="44">
        <f t="shared" si="29"/>
        <v>1.1723238095238095</v>
      </c>
      <c r="M107" s="45">
        <f t="shared" si="29"/>
        <v>0.9650925925925926</v>
      </c>
      <c r="N107" s="45">
        <f t="shared" si="29"/>
        <v>0.7463888888888889</v>
      </c>
      <c r="O107" s="44">
        <f t="shared" si="29"/>
        <v>0.40148930555555556</v>
      </c>
      <c r="P107" s="44">
        <f t="shared" si="29"/>
        <v>0.7577076388888888</v>
      </c>
      <c r="Q107" s="44">
        <f t="shared" si="29"/>
        <v>0.3933904761904762</v>
      </c>
      <c r="R107" s="45">
        <f t="shared" si="29"/>
        <v>0.6853333333333333</v>
      </c>
      <c r="S107" s="44">
        <f t="shared" si="29"/>
        <v>0.771915</v>
      </c>
      <c r="T107" s="44">
        <f t="shared" si="29"/>
        <v>0.6115092592592593</v>
      </c>
      <c r="U107" s="51"/>
      <c r="V107" s="52"/>
      <c r="W107" s="52"/>
      <c r="X107" s="52"/>
    </row>
    <row r="108" spans="1:24" s="1" customFormat="1" ht="11.25" customHeight="1">
      <c r="A108" s="262" t="s">
        <v>36</v>
      </c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13"/>
      <c r="V108" s="25"/>
      <c r="W108" s="25"/>
      <c r="X108" s="25"/>
    </row>
    <row r="109" spans="1:24" s="1" customFormat="1" ht="11.25" customHeight="1">
      <c r="A109" s="58" t="s">
        <v>55</v>
      </c>
      <c r="B109" s="54"/>
      <c r="C109" s="54"/>
      <c r="D109" s="2"/>
      <c r="E109" s="2"/>
      <c r="F109" s="34"/>
      <c r="G109" s="240" t="s">
        <v>37</v>
      </c>
      <c r="H109" s="240"/>
      <c r="I109" s="240"/>
      <c r="J109" s="71"/>
      <c r="K109" s="71"/>
      <c r="L109" s="247" t="s">
        <v>2</v>
      </c>
      <c r="M109" s="247"/>
      <c r="N109" s="256"/>
      <c r="O109" s="256"/>
      <c r="P109" s="256"/>
      <c r="Q109" s="256"/>
      <c r="R109" s="71"/>
      <c r="S109" s="71"/>
      <c r="T109" s="71"/>
      <c r="U109" s="14"/>
      <c r="V109" s="20"/>
      <c r="W109" s="20"/>
      <c r="X109" s="20"/>
    </row>
    <row r="110" spans="1:24" s="1" customFormat="1" ht="11.25" customHeight="1">
      <c r="A110" s="54"/>
      <c r="B110" s="54"/>
      <c r="C110" s="54"/>
      <c r="D110" s="235" t="s">
        <v>3</v>
      </c>
      <c r="E110" s="235"/>
      <c r="F110" s="235"/>
      <c r="G110" s="7">
        <v>1</v>
      </c>
      <c r="H110" s="71"/>
      <c r="I110" s="2"/>
      <c r="J110" s="2"/>
      <c r="K110" s="2"/>
      <c r="L110" s="235" t="s">
        <v>4</v>
      </c>
      <c r="M110" s="235"/>
      <c r="N110" s="239" t="s">
        <v>57</v>
      </c>
      <c r="O110" s="239"/>
      <c r="P110" s="239"/>
      <c r="Q110" s="239"/>
      <c r="R110" s="239"/>
      <c r="S110" s="239"/>
      <c r="T110" s="239"/>
      <c r="U110" s="15"/>
      <c r="V110" s="21"/>
      <c r="W110" s="21"/>
      <c r="X110" s="21"/>
    </row>
    <row r="111" spans="1:24" s="1" customFormat="1" ht="21.75" customHeight="1">
      <c r="A111" s="241" t="s">
        <v>85</v>
      </c>
      <c r="B111" s="241" t="s">
        <v>6</v>
      </c>
      <c r="C111" s="241"/>
      <c r="D111" s="241" t="s">
        <v>7</v>
      </c>
      <c r="E111" s="175"/>
      <c r="F111" s="267" t="s">
        <v>8</v>
      </c>
      <c r="G111" s="267"/>
      <c r="H111" s="267"/>
      <c r="I111" s="241" t="s">
        <v>9</v>
      </c>
      <c r="J111" s="267" t="s">
        <v>10</v>
      </c>
      <c r="K111" s="267"/>
      <c r="L111" s="267"/>
      <c r="M111" s="267"/>
      <c r="N111" s="267"/>
      <c r="O111" s="267" t="s">
        <v>11</v>
      </c>
      <c r="P111" s="267"/>
      <c r="Q111" s="267"/>
      <c r="R111" s="267"/>
      <c r="S111" s="267"/>
      <c r="T111" s="267"/>
      <c r="U111" s="9"/>
      <c r="V111" s="22"/>
      <c r="W111" s="22"/>
      <c r="X111" s="22"/>
    </row>
    <row r="112" spans="1:24" s="1" customFormat="1" ht="21" customHeight="1">
      <c r="A112" s="242"/>
      <c r="B112" s="245"/>
      <c r="C112" s="246"/>
      <c r="D112" s="242"/>
      <c r="E112" s="176"/>
      <c r="F112" s="100" t="s">
        <v>12</v>
      </c>
      <c r="G112" s="177" t="s">
        <v>13</v>
      </c>
      <c r="H112" s="177" t="s">
        <v>14</v>
      </c>
      <c r="I112" s="242"/>
      <c r="J112" s="177" t="s">
        <v>15</v>
      </c>
      <c r="K112" s="177" t="s">
        <v>58</v>
      </c>
      <c r="L112" s="177" t="s">
        <v>16</v>
      </c>
      <c r="M112" s="177" t="s">
        <v>17</v>
      </c>
      <c r="N112" s="177" t="s">
        <v>18</v>
      </c>
      <c r="O112" s="177" t="s">
        <v>19</v>
      </c>
      <c r="P112" s="177" t="s">
        <v>20</v>
      </c>
      <c r="Q112" s="177" t="s">
        <v>59</v>
      </c>
      <c r="R112" s="177" t="s">
        <v>60</v>
      </c>
      <c r="S112" s="177" t="s">
        <v>21</v>
      </c>
      <c r="T112" s="177" t="s">
        <v>22</v>
      </c>
      <c r="U112" s="9"/>
      <c r="V112" s="22"/>
      <c r="W112" s="22"/>
      <c r="X112" s="22"/>
    </row>
    <row r="113" spans="1:24" s="1" customFormat="1" ht="11.25" customHeight="1">
      <c r="A113" s="182">
        <v>1</v>
      </c>
      <c r="B113" s="268">
        <v>2</v>
      </c>
      <c r="C113" s="268"/>
      <c r="D113" s="37">
        <v>3</v>
      </c>
      <c r="E113" s="37"/>
      <c r="F113" s="101">
        <v>4</v>
      </c>
      <c r="G113" s="37">
        <v>5</v>
      </c>
      <c r="H113" s="37">
        <v>6</v>
      </c>
      <c r="I113" s="37">
        <v>7</v>
      </c>
      <c r="J113" s="37">
        <v>8</v>
      </c>
      <c r="K113" s="37">
        <v>9</v>
      </c>
      <c r="L113" s="37">
        <v>10</v>
      </c>
      <c r="M113" s="37">
        <v>11</v>
      </c>
      <c r="N113" s="37">
        <v>12</v>
      </c>
      <c r="O113" s="37">
        <v>13</v>
      </c>
      <c r="P113" s="37">
        <v>14</v>
      </c>
      <c r="Q113" s="37">
        <v>15</v>
      </c>
      <c r="R113" s="37">
        <v>16</v>
      </c>
      <c r="S113" s="37">
        <v>17</v>
      </c>
      <c r="T113" s="37">
        <v>18</v>
      </c>
      <c r="U113" s="10"/>
      <c r="V113" s="23"/>
      <c r="W113" s="23"/>
      <c r="X113" s="23"/>
    </row>
    <row r="114" spans="1:24" s="1" customFormat="1" ht="11.25" customHeight="1">
      <c r="A114" s="276" t="s">
        <v>26</v>
      </c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11"/>
      <c r="V114" s="24"/>
      <c r="W114" s="24"/>
      <c r="X114" s="24"/>
    </row>
    <row r="115" spans="1:24" s="140" customFormat="1" ht="11.25" customHeight="1">
      <c r="A115" s="121">
        <v>338</v>
      </c>
      <c r="B115" s="255" t="s">
        <v>112</v>
      </c>
      <c r="C115" s="255"/>
      <c r="D115" s="147">
        <v>100</v>
      </c>
      <c r="E115" s="148">
        <v>29.99</v>
      </c>
      <c r="F115" s="148">
        <v>0.4</v>
      </c>
      <c r="G115" s="148">
        <v>0.4</v>
      </c>
      <c r="H115" s="148">
        <v>9.8</v>
      </c>
      <c r="I115" s="148">
        <f>F115*4+G115*9+H115*4</f>
        <v>44.400000000000006</v>
      </c>
      <c r="J115" s="148">
        <v>0.04</v>
      </c>
      <c r="K115" s="148">
        <v>0.02</v>
      </c>
      <c r="L115" s="147">
        <v>10</v>
      </c>
      <c r="M115" s="147">
        <v>0.02</v>
      </c>
      <c r="N115" s="148">
        <v>0.2</v>
      </c>
      <c r="O115" s="148">
        <v>16</v>
      </c>
      <c r="P115" s="148">
        <v>11</v>
      </c>
      <c r="Q115" s="147">
        <v>0.03</v>
      </c>
      <c r="R115" s="147">
        <v>0.002</v>
      </c>
      <c r="S115" s="148">
        <v>9</v>
      </c>
      <c r="T115" s="148">
        <v>2.2</v>
      </c>
      <c r="U115" s="150"/>
      <c r="V115" s="28"/>
      <c r="W115" s="28"/>
      <c r="X115" s="29"/>
    </row>
    <row r="116" spans="1:24" s="140" customFormat="1" ht="12" customHeight="1">
      <c r="A116" s="121">
        <v>15</v>
      </c>
      <c r="B116" s="221" t="s">
        <v>79</v>
      </c>
      <c r="C116" s="222"/>
      <c r="D116" s="147">
        <v>25</v>
      </c>
      <c r="E116" s="148">
        <v>16</v>
      </c>
      <c r="F116" s="148">
        <f>2.32*D116/10</f>
        <v>5.799999999999999</v>
      </c>
      <c r="G116" s="148">
        <f>3.4*D116/10</f>
        <v>8.5</v>
      </c>
      <c r="H116" s="148">
        <f>0.01*D116/10</f>
        <v>0.025</v>
      </c>
      <c r="I116" s="148">
        <f>F116*4+G116*9+H116*4</f>
        <v>99.79999999999998</v>
      </c>
      <c r="J116" s="148">
        <f>0.004*D116/10</f>
        <v>0.01</v>
      </c>
      <c r="K116" s="148">
        <f>0.03*D116/10</f>
        <v>0.075</v>
      </c>
      <c r="L116" s="148">
        <f>0.07*D116/10</f>
        <v>0.17500000000000002</v>
      </c>
      <c r="M116" s="149">
        <f>0.023*D116/10</f>
        <v>0.057499999999999996</v>
      </c>
      <c r="N116" s="148">
        <f>0.05*D116/10</f>
        <v>0.125</v>
      </c>
      <c r="O116" s="148">
        <f>88*D116/10</f>
        <v>220</v>
      </c>
      <c r="P116" s="148">
        <f>50*D116/10</f>
        <v>125</v>
      </c>
      <c r="Q116" s="148">
        <f>0.4*D116/10</f>
        <v>1</v>
      </c>
      <c r="R116" s="149">
        <f>0.02*D116/10</f>
        <v>0.05</v>
      </c>
      <c r="S116" s="148">
        <f>3.5*D116/10</f>
        <v>8.75</v>
      </c>
      <c r="T116" s="148">
        <f>0.13*D116/10</f>
        <v>0.325</v>
      </c>
      <c r="U116" s="150"/>
      <c r="V116" s="28"/>
      <c r="W116" s="28"/>
      <c r="X116" s="29"/>
    </row>
    <row r="117" spans="1:24" s="140" customFormat="1" ht="21.75" customHeight="1">
      <c r="A117" s="182">
        <v>173</v>
      </c>
      <c r="B117" s="221" t="s">
        <v>119</v>
      </c>
      <c r="C117" s="222"/>
      <c r="D117" s="147">
        <v>250</v>
      </c>
      <c r="E117" s="148">
        <v>17.3</v>
      </c>
      <c r="F117" s="148">
        <v>9.125</v>
      </c>
      <c r="G117" s="148">
        <v>15.62</v>
      </c>
      <c r="H117" s="148">
        <v>67.87</v>
      </c>
      <c r="I117" s="148">
        <v>448.62</v>
      </c>
      <c r="J117" s="148">
        <v>0.17</v>
      </c>
      <c r="K117" s="148">
        <v>0.225</v>
      </c>
      <c r="L117" s="148">
        <v>4.188</v>
      </c>
      <c r="M117" s="149">
        <v>0.046</v>
      </c>
      <c r="N117" s="145">
        <v>1.62</v>
      </c>
      <c r="O117" s="148">
        <v>184.5</v>
      </c>
      <c r="P117" s="148">
        <v>248.25</v>
      </c>
      <c r="Q117" s="147">
        <v>0</v>
      </c>
      <c r="R117" s="149">
        <v>0</v>
      </c>
      <c r="S117" s="148">
        <v>72.25</v>
      </c>
      <c r="T117" s="148">
        <v>1.625</v>
      </c>
      <c r="U117" s="150"/>
      <c r="V117" s="220" t="s">
        <v>73</v>
      </c>
      <c r="W117" s="220" t="s">
        <v>74</v>
      </c>
      <c r="X117" s="220" t="s">
        <v>75</v>
      </c>
    </row>
    <row r="118" spans="1:24" s="140" customFormat="1" ht="12.75" customHeight="1">
      <c r="A118" s="182">
        <v>377</v>
      </c>
      <c r="B118" s="255" t="s">
        <v>45</v>
      </c>
      <c r="C118" s="255"/>
      <c r="D118" s="147">
        <v>200</v>
      </c>
      <c r="E118" s="148">
        <v>3.61</v>
      </c>
      <c r="F118" s="148">
        <v>0.26</v>
      </c>
      <c r="G118" s="148">
        <v>0.06</v>
      </c>
      <c r="H118" s="148">
        <v>15.22</v>
      </c>
      <c r="I118" s="148">
        <f>F118*4+G118*9+H118*4</f>
        <v>62.46</v>
      </c>
      <c r="J118" s="148"/>
      <c r="K118" s="148">
        <v>0.01</v>
      </c>
      <c r="L118" s="148">
        <v>2.9</v>
      </c>
      <c r="M118" s="145">
        <v>0</v>
      </c>
      <c r="N118" s="148">
        <v>0.06</v>
      </c>
      <c r="O118" s="148">
        <v>8.05</v>
      </c>
      <c r="P118" s="148">
        <v>9.78</v>
      </c>
      <c r="Q118" s="148">
        <v>0.017</v>
      </c>
      <c r="R118" s="149">
        <v>0</v>
      </c>
      <c r="S118" s="148">
        <v>5.24</v>
      </c>
      <c r="T118" s="148">
        <v>0.87</v>
      </c>
      <c r="U118" s="150"/>
      <c r="V118" s="220"/>
      <c r="W118" s="220"/>
      <c r="X118" s="220"/>
    </row>
    <row r="119" spans="1:24" s="140" customFormat="1" ht="12.75" customHeight="1">
      <c r="A119" s="153" t="s">
        <v>67</v>
      </c>
      <c r="B119" s="221" t="s">
        <v>53</v>
      </c>
      <c r="C119" s="222"/>
      <c r="D119" s="147">
        <v>40</v>
      </c>
      <c r="E119" s="148">
        <v>3.1</v>
      </c>
      <c r="F119" s="148">
        <f>1.52*D119/30</f>
        <v>2.0266666666666664</v>
      </c>
      <c r="G119" s="149">
        <f>0.16*D119/30</f>
        <v>0.21333333333333335</v>
      </c>
      <c r="H119" s="149">
        <f>9.84*D119/30</f>
        <v>13.120000000000001</v>
      </c>
      <c r="I119" s="149">
        <f>F119*4+G119*9+H119*4</f>
        <v>62.50666666666667</v>
      </c>
      <c r="J119" s="149">
        <f>0.02*D119/30</f>
        <v>0.02666666666666667</v>
      </c>
      <c r="K119" s="149">
        <f>0.01*D119/30</f>
        <v>0.013333333333333334</v>
      </c>
      <c r="L119" s="149">
        <f>0.44*D119/30</f>
        <v>0.5866666666666667</v>
      </c>
      <c r="M119" s="149">
        <v>0</v>
      </c>
      <c r="N119" s="149">
        <f>0.7*D119/30</f>
        <v>0.9333333333333333</v>
      </c>
      <c r="O119" s="149">
        <f>4*D119/30</f>
        <v>5.333333333333333</v>
      </c>
      <c r="P119" s="149">
        <f>13*D119/30</f>
        <v>17.333333333333332</v>
      </c>
      <c r="Q119" s="149">
        <f>0.008*D119/30</f>
        <v>0.010666666666666666</v>
      </c>
      <c r="R119" s="149">
        <f>0.001*D119/30</f>
        <v>0.0013333333333333333</v>
      </c>
      <c r="S119" s="149">
        <v>0</v>
      </c>
      <c r="T119" s="149">
        <f>0.22*D119/30</f>
        <v>0.29333333333333333</v>
      </c>
      <c r="U119" s="150"/>
      <c r="V119" s="220"/>
      <c r="W119" s="220"/>
      <c r="X119" s="220"/>
    </row>
    <row r="120" spans="1:25" s="1" customFormat="1" ht="11.25" customHeight="1">
      <c r="A120" s="60" t="s">
        <v>27</v>
      </c>
      <c r="B120" s="60"/>
      <c r="C120" s="60"/>
      <c r="D120" s="65">
        <f aca="true" t="shared" si="30" ref="D120:T120">SUM(D115:D119)</f>
        <v>615</v>
      </c>
      <c r="E120" s="154">
        <f>SUM(E115:E119)</f>
        <v>69.99999999999999</v>
      </c>
      <c r="F120" s="39">
        <f t="shared" si="30"/>
        <v>17.611666666666665</v>
      </c>
      <c r="G120" s="38">
        <f t="shared" si="30"/>
        <v>24.793333333333333</v>
      </c>
      <c r="H120" s="38">
        <f t="shared" si="30"/>
        <v>106.03500000000001</v>
      </c>
      <c r="I120" s="38">
        <f t="shared" si="30"/>
        <v>717.7866666666666</v>
      </c>
      <c r="J120" s="39">
        <f t="shared" si="30"/>
        <v>0.2466666666666667</v>
      </c>
      <c r="K120" s="39">
        <f t="shared" si="30"/>
        <v>0.3433333333333333</v>
      </c>
      <c r="L120" s="39">
        <f t="shared" si="30"/>
        <v>17.849666666666664</v>
      </c>
      <c r="M120" s="39">
        <f t="shared" si="30"/>
        <v>0.1235</v>
      </c>
      <c r="N120" s="39">
        <f t="shared" si="30"/>
        <v>2.9383333333333335</v>
      </c>
      <c r="O120" s="39">
        <f t="shared" si="30"/>
        <v>433.8833333333333</v>
      </c>
      <c r="P120" s="39">
        <f t="shared" si="30"/>
        <v>411.3633333333333</v>
      </c>
      <c r="Q120" s="39">
        <f t="shared" si="30"/>
        <v>1.0576666666666665</v>
      </c>
      <c r="R120" s="40">
        <f t="shared" si="30"/>
        <v>0.05333333333333334</v>
      </c>
      <c r="S120" s="39">
        <f t="shared" si="30"/>
        <v>95.24</v>
      </c>
      <c r="T120" s="39">
        <f t="shared" si="30"/>
        <v>5.3133333333333335</v>
      </c>
      <c r="U120" s="38"/>
      <c r="V120" s="76">
        <f>AVERAGE(I121,I156,I193,I228,I264)</f>
        <v>34.074234558823534</v>
      </c>
      <c r="W120" s="76" t="e">
        <f>AVERAGE(I132,I168,I206,I240,#REF!)</f>
        <v>#REF!</v>
      </c>
      <c r="X120" s="76">
        <f>AVERAGE(I138,I175,I212,I246,I280)</f>
        <v>873.7766526292335</v>
      </c>
      <c r="Y120" s="139"/>
    </row>
    <row r="121" spans="1:24" s="1" customFormat="1" ht="11.25" customHeight="1">
      <c r="A121" s="259" t="s">
        <v>63</v>
      </c>
      <c r="B121" s="260"/>
      <c r="C121" s="260"/>
      <c r="D121" s="261"/>
      <c r="E121" s="174"/>
      <c r="F121" s="122">
        <f aca="true" t="shared" si="31" ref="F121:T121">F120/F140</f>
        <v>0.19568518518518516</v>
      </c>
      <c r="G121" s="123">
        <f t="shared" si="31"/>
        <v>0.2694927536231884</v>
      </c>
      <c r="H121" s="123">
        <f t="shared" si="31"/>
        <v>0.2768537859007833</v>
      </c>
      <c r="I121" s="123">
        <f t="shared" si="31"/>
        <v>0.2638921568627451</v>
      </c>
      <c r="J121" s="123">
        <f t="shared" si="31"/>
        <v>0.17619047619047623</v>
      </c>
      <c r="K121" s="123">
        <f t="shared" si="31"/>
        <v>0.21458333333333332</v>
      </c>
      <c r="L121" s="123">
        <f t="shared" si="31"/>
        <v>0.25499523809523805</v>
      </c>
      <c r="M121" s="123">
        <f t="shared" si="31"/>
        <v>0.13722222222222222</v>
      </c>
      <c r="N121" s="123">
        <f t="shared" si="31"/>
        <v>0.2448611111111111</v>
      </c>
      <c r="O121" s="123">
        <f t="shared" si="31"/>
        <v>0.36156944444444444</v>
      </c>
      <c r="P121" s="123">
        <f t="shared" si="31"/>
        <v>0.34280277777777773</v>
      </c>
      <c r="Q121" s="123">
        <f t="shared" si="31"/>
        <v>0.07554761904761904</v>
      </c>
      <c r="R121" s="123">
        <f t="shared" si="31"/>
        <v>0.5333333333333333</v>
      </c>
      <c r="S121" s="123">
        <f t="shared" si="31"/>
        <v>0.3174666666666667</v>
      </c>
      <c r="T121" s="123">
        <f t="shared" si="31"/>
        <v>0.2951851851851852</v>
      </c>
      <c r="U121" s="144"/>
      <c r="V121" s="143"/>
      <c r="W121" s="143"/>
      <c r="X121" s="143"/>
    </row>
    <row r="122" spans="1:24" s="1" customFormat="1" ht="11.25" customHeight="1" hidden="1">
      <c r="A122" s="172"/>
      <c r="B122" s="173"/>
      <c r="C122" s="173"/>
      <c r="D122" s="174"/>
      <c r="E122" s="160">
        <f>70-E120</f>
        <v>0</v>
      </c>
      <c r="F122" s="124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44"/>
      <c r="V122" s="143"/>
      <c r="W122" s="143"/>
      <c r="X122" s="143"/>
    </row>
    <row r="123" spans="1:24" s="1" customFormat="1" ht="11.25" customHeight="1">
      <c r="A123" s="276" t="s">
        <v>28</v>
      </c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11"/>
      <c r="V123" s="24"/>
      <c r="W123" s="24"/>
      <c r="X123" s="24"/>
    </row>
    <row r="124" spans="1:24" s="141" customFormat="1" ht="21.75" customHeight="1">
      <c r="A124" s="182">
        <v>24</v>
      </c>
      <c r="B124" s="270" t="s">
        <v>76</v>
      </c>
      <c r="C124" s="271"/>
      <c r="D124" s="147">
        <v>100</v>
      </c>
      <c r="E124" s="148">
        <v>21.64</v>
      </c>
      <c r="F124" s="148">
        <f>0.3*D124/60</f>
        <v>0.5</v>
      </c>
      <c r="G124" s="148">
        <f>2*D124/60</f>
        <v>3.3333333333333335</v>
      </c>
      <c r="H124" s="148">
        <f>1.6*D124/60</f>
        <v>2.6666666666666665</v>
      </c>
      <c r="I124" s="148">
        <f aca="true" t="shared" si="32" ref="I124:I130">F124*4+G124*9+H124*4</f>
        <v>42.666666666666664</v>
      </c>
      <c r="J124" s="148">
        <f>0.06*D124/60</f>
        <v>0.1</v>
      </c>
      <c r="K124" s="148">
        <f>0.04*D124/60</f>
        <v>0.06666666666666667</v>
      </c>
      <c r="L124" s="148">
        <f>12.4*D124/60</f>
        <v>20.666666666666668</v>
      </c>
      <c r="M124" s="149">
        <f>0.001*D124/60</f>
        <v>0.0016666666666666668</v>
      </c>
      <c r="N124" s="148">
        <f>1.5*D124/60</f>
        <v>2.5</v>
      </c>
      <c r="O124" s="148">
        <f>28.2*D124/60</f>
        <v>47</v>
      </c>
      <c r="P124" s="148">
        <f>32.3*D124/60</f>
        <v>53.83333333333333</v>
      </c>
      <c r="Q124" s="148">
        <f>0.3*D124/60</f>
        <v>0.5</v>
      </c>
      <c r="R124" s="149">
        <f>0.002*D124/60</f>
        <v>0.0033333333333333335</v>
      </c>
      <c r="S124" s="148">
        <f>18.6*D124/60</f>
        <v>31.000000000000004</v>
      </c>
      <c r="T124" s="148">
        <f>0.5*D124/60</f>
        <v>0.8333333333333334</v>
      </c>
      <c r="U124" s="150"/>
      <c r="V124" s="151"/>
      <c r="W124" s="151"/>
      <c r="X124" s="151"/>
    </row>
    <row r="125" spans="1:24" s="140" customFormat="1" ht="22.5" customHeight="1">
      <c r="A125" s="182">
        <v>102</v>
      </c>
      <c r="B125" s="221" t="s">
        <v>96</v>
      </c>
      <c r="C125" s="222"/>
      <c r="D125" s="145">
        <v>250</v>
      </c>
      <c r="E125" s="148">
        <v>10.22</v>
      </c>
      <c r="F125" s="148">
        <v>6.22</v>
      </c>
      <c r="G125" s="148">
        <v>3.99</v>
      </c>
      <c r="H125" s="148">
        <v>21.73</v>
      </c>
      <c r="I125" s="148">
        <f t="shared" si="32"/>
        <v>147.71</v>
      </c>
      <c r="J125" s="148">
        <v>0.27</v>
      </c>
      <c r="K125" s="148">
        <v>0.09</v>
      </c>
      <c r="L125" s="148">
        <v>9</v>
      </c>
      <c r="M125" s="149">
        <v>0.001</v>
      </c>
      <c r="N125" s="148">
        <v>0.257</v>
      </c>
      <c r="O125" s="148">
        <v>54.13</v>
      </c>
      <c r="P125" s="148">
        <v>183.2</v>
      </c>
      <c r="Q125" s="148">
        <v>1.157</v>
      </c>
      <c r="R125" s="149">
        <v>0.013</v>
      </c>
      <c r="S125" s="148">
        <v>49.63</v>
      </c>
      <c r="T125" s="148">
        <v>1.03</v>
      </c>
      <c r="U125" s="150"/>
      <c r="V125" s="151"/>
      <c r="W125" s="151"/>
      <c r="X125" s="151"/>
    </row>
    <row r="126" spans="1:24" s="140" customFormat="1" ht="22.5" customHeight="1">
      <c r="A126" s="182">
        <v>268</v>
      </c>
      <c r="B126" s="221" t="s">
        <v>92</v>
      </c>
      <c r="C126" s="222"/>
      <c r="D126" s="147">
        <v>100</v>
      </c>
      <c r="E126" s="148">
        <v>39.9</v>
      </c>
      <c r="F126" s="148">
        <f>13.46*D126/80</f>
        <v>16.825</v>
      </c>
      <c r="G126" s="146">
        <f>10.86*D126/80</f>
        <v>13.575</v>
      </c>
      <c r="H126" s="146">
        <f>5.34*D126/80</f>
        <v>6.675</v>
      </c>
      <c r="I126" s="148">
        <f>F126*4+G126*9+H126*4</f>
        <v>216.17499999999998</v>
      </c>
      <c r="J126" s="148">
        <f>0.07*D126/80</f>
        <v>0.08750000000000001</v>
      </c>
      <c r="K126" s="148">
        <f>0.23*D126/80</f>
        <v>0.2875</v>
      </c>
      <c r="L126" s="148">
        <f>0.75*D126/80</f>
        <v>0.9375</v>
      </c>
      <c r="M126" s="145">
        <f>0.2*D126/80</f>
        <v>0.25</v>
      </c>
      <c r="N126" s="149">
        <f>0.021*D126/80</f>
        <v>0.026250000000000002</v>
      </c>
      <c r="O126" s="148">
        <f>73.74*D126/80</f>
        <v>92.17499999999998</v>
      </c>
      <c r="P126" s="146">
        <f>184.82*D126/80</f>
        <v>231.025</v>
      </c>
      <c r="Q126" s="148">
        <f>2.28*D126/80</f>
        <v>2.8499999999999996</v>
      </c>
      <c r="R126" s="149">
        <f>0.03*D126/80</f>
        <v>0.0375</v>
      </c>
      <c r="S126" s="148">
        <f>29.86*D126/80</f>
        <v>37.325</v>
      </c>
      <c r="T126" s="148">
        <f>1.93*D126/80</f>
        <v>2.4125</v>
      </c>
      <c r="U126" s="150"/>
      <c r="V126" s="151"/>
      <c r="W126" s="151"/>
      <c r="X126" s="151"/>
    </row>
    <row r="127" spans="1:24" s="140" customFormat="1" ht="19.5" customHeight="1">
      <c r="A127" s="182">
        <v>203</v>
      </c>
      <c r="B127" s="221" t="s">
        <v>81</v>
      </c>
      <c r="C127" s="222"/>
      <c r="D127" s="147">
        <v>180</v>
      </c>
      <c r="E127" s="148">
        <v>8.37</v>
      </c>
      <c r="F127" s="148">
        <f>5.7*D127/150</f>
        <v>6.84</v>
      </c>
      <c r="G127" s="148">
        <f>3.43*D127/150</f>
        <v>4.116</v>
      </c>
      <c r="H127" s="148">
        <f>36.45*D127/150</f>
        <v>43.74000000000001</v>
      </c>
      <c r="I127" s="148">
        <f t="shared" si="32"/>
        <v>239.36400000000003</v>
      </c>
      <c r="J127" s="148">
        <f>0.09*D127/150</f>
        <v>0.108</v>
      </c>
      <c r="K127" s="148">
        <f>0.03*D127/150</f>
        <v>0.036</v>
      </c>
      <c r="L127" s="148">
        <v>0</v>
      </c>
      <c r="M127" s="149">
        <f>0.03*D127/150</f>
        <v>0.036</v>
      </c>
      <c r="N127" s="148">
        <f>1.25*D127/150</f>
        <v>1.5</v>
      </c>
      <c r="O127" s="148">
        <f>13.28*D127/150</f>
        <v>15.936</v>
      </c>
      <c r="P127" s="148">
        <f>46.21*D127/150</f>
        <v>55.452</v>
      </c>
      <c r="Q127" s="148">
        <f>0.78*D127/150</f>
        <v>0.936</v>
      </c>
      <c r="R127" s="149">
        <f>0.0015*D127/150</f>
        <v>0.0018000000000000002</v>
      </c>
      <c r="S127" s="148">
        <f>8.47*D127/150</f>
        <v>10.164000000000001</v>
      </c>
      <c r="T127" s="148">
        <f>0.86*D127/150</f>
        <v>1.032</v>
      </c>
      <c r="U127" s="150"/>
      <c r="V127" s="151"/>
      <c r="W127" s="151"/>
      <c r="X127" s="151"/>
    </row>
    <row r="128" spans="1:24" s="140" customFormat="1" ht="21.75" customHeight="1">
      <c r="A128" s="153">
        <v>349</v>
      </c>
      <c r="B128" s="221" t="s">
        <v>99</v>
      </c>
      <c r="C128" s="222"/>
      <c r="D128" s="147">
        <v>200</v>
      </c>
      <c r="E128" s="148">
        <v>4.73</v>
      </c>
      <c r="F128" s="148">
        <v>0.22</v>
      </c>
      <c r="G128" s="145"/>
      <c r="H128" s="148">
        <v>24.42</v>
      </c>
      <c r="I128" s="148">
        <f t="shared" si="32"/>
        <v>98.56</v>
      </c>
      <c r="J128" s="145"/>
      <c r="K128" s="145"/>
      <c r="L128" s="148">
        <v>26.11</v>
      </c>
      <c r="M128" s="145"/>
      <c r="N128" s="145"/>
      <c r="O128" s="146">
        <v>22.6</v>
      </c>
      <c r="P128" s="146">
        <v>7.7</v>
      </c>
      <c r="Q128" s="147">
        <v>0</v>
      </c>
      <c r="R128" s="147">
        <v>0</v>
      </c>
      <c r="S128" s="146">
        <v>3</v>
      </c>
      <c r="T128" s="148">
        <v>0.66</v>
      </c>
      <c r="U128" s="150"/>
      <c r="V128" s="151"/>
      <c r="W128" s="151"/>
      <c r="X128" s="151"/>
    </row>
    <row r="129" spans="1:24" s="140" customFormat="1" ht="11.25" customHeight="1">
      <c r="A129" s="78" t="s">
        <v>67</v>
      </c>
      <c r="B129" s="221" t="s">
        <v>46</v>
      </c>
      <c r="C129" s="222"/>
      <c r="D129" s="147">
        <v>40</v>
      </c>
      <c r="E129" s="148">
        <v>2.04</v>
      </c>
      <c r="F129" s="148">
        <f>2.64*D129/40</f>
        <v>2.64</v>
      </c>
      <c r="G129" s="148">
        <f>0.48*D129/40</f>
        <v>0.48</v>
      </c>
      <c r="H129" s="148">
        <f>13.68*D129/40</f>
        <v>13.680000000000001</v>
      </c>
      <c r="I129" s="148">
        <f t="shared" si="32"/>
        <v>69.60000000000001</v>
      </c>
      <c r="J129" s="145">
        <f>0.08*D129/40</f>
        <v>0.08</v>
      </c>
      <c r="K129" s="148">
        <f>0.04*D129/40</f>
        <v>0.04</v>
      </c>
      <c r="L129" s="147">
        <v>0</v>
      </c>
      <c r="M129" s="147">
        <v>0</v>
      </c>
      <c r="N129" s="148">
        <f>2.4*D129/40</f>
        <v>2.4</v>
      </c>
      <c r="O129" s="148">
        <f>14*D129/40</f>
        <v>14</v>
      </c>
      <c r="P129" s="148">
        <f>63.2*D129/40</f>
        <v>63.2</v>
      </c>
      <c r="Q129" s="148">
        <f>1.2*D129/40</f>
        <v>1.2</v>
      </c>
      <c r="R129" s="149">
        <f>0.001*D129/40</f>
        <v>0.001</v>
      </c>
      <c r="S129" s="148">
        <f>9.4*D129/40</f>
        <v>9.4</v>
      </c>
      <c r="T129" s="145">
        <f>0.78*D129/40</f>
        <v>0.78</v>
      </c>
      <c r="U129" s="30"/>
      <c r="V129" s="31"/>
      <c r="W129" s="31"/>
      <c r="X129" s="31"/>
    </row>
    <row r="130" spans="1:24" s="140" customFormat="1" ht="11.25" customHeight="1">
      <c r="A130" s="153" t="s">
        <v>67</v>
      </c>
      <c r="B130" s="221" t="s">
        <v>53</v>
      </c>
      <c r="C130" s="222"/>
      <c r="D130" s="147">
        <v>40</v>
      </c>
      <c r="E130" s="148">
        <v>3.1</v>
      </c>
      <c r="F130" s="148">
        <f>1.52*D130/30</f>
        <v>2.0266666666666664</v>
      </c>
      <c r="G130" s="149">
        <f>0.16*D130/30</f>
        <v>0.21333333333333335</v>
      </c>
      <c r="H130" s="149">
        <f>9.84*D130/30</f>
        <v>13.120000000000001</v>
      </c>
      <c r="I130" s="149">
        <f t="shared" si="32"/>
        <v>62.50666666666667</v>
      </c>
      <c r="J130" s="149">
        <f>0.02*D130/30</f>
        <v>0.02666666666666667</v>
      </c>
      <c r="K130" s="149">
        <f>0.01*D130/30</f>
        <v>0.013333333333333334</v>
      </c>
      <c r="L130" s="149">
        <f>0.44*D130/30</f>
        <v>0.5866666666666667</v>
      </c>
      <c r="M130" s="149">
        <v>0</v>
      </c>
      <c r="N130" s="149">
        <f>0.7*D130/30</f>
        <v>0.9333333333333333</v>
      </c>
      <c r="O130" s="149">
        <f>4*D130/30</f>
        <v>5.333333333333333</v>
      </c>
      <c r="P130" s="149">
        <f>13*D130/30</f>
        <v>17.333333333333332</v>
      </c>
      <c r="Q130" s="149">
        <f>0.008*D130/30</f>
        <v>0.010666666666666666</v>
      </c>
      <c r="R130" s="149">
        <f>0.001*D130/30</f>
        <v>0.0013333333333333333</v>
      </c>
      <c r="S130" s="149">
        <v>0</v>
      </c>
      <c r="T130" s="149">
        <f>0.22*D130/30</f>
        <v>0.29333333333333333</v>
      </c>
      <c r="U130" s="150"/>
      <c r="V130" s="151"/>
      <c r="W130" s="151"/>
      <c r="X130" s="151"/>
    </row>
    <row r="131" spans="1:24" s="1" customFormat="1" ht="11.25" customHeight="1">
      <c r="A131" s="60" t="s">
        <v>29</v>
      </c>
      <c r="B131" s="60"/>
      <c r="C131" s="60"/>
      <c r="D131" s="65">
        <f aca="true" t="shared" si="33" ref="D131:I131">SUM(D124:D130)</f>
        <v>910</v>
      </c>
      <c r="E131" s="154">
        <f t="shared" si="33"/>
        <v>90</v>
      </c>
      <c r="F131" s="39">
        <f t="shared" si="33"/>
        <v>35.27166666666666</v>
      </c>
      <c r="G131" s="39">
        <f t="shared" si="33"/>
        <v>25.707666666666668</v>
      </c>
      <c r="H131" s="39">
        <f t="shared" si="33"/>
        <v>126.0316666666667</v>
      </c>
      <c r="I131" s="38">
        <f t="shared" si="33"/>
        <v>876.5823333333334</v>
      </c>
      <c r="J131" s="39">
        <f aca="true" t="shared" si="34" ref="J131:S131">SUM(J124:J130)</f>
        <v>0.6721666666666666</v>
      </c>
      <c r="K131" s="39">
        <f t="shared" si="34"/>
        <v>0.5335</v>
      </c>
      <c r="L131" s="39">
        <f t="shared" si="34"/>
        <v>57.30083333333334</v>
      </c>
      <c r="M131" s="39">
        <f t="shared" si="34"/>
        <v>0.2886666666666666</v>
      </c>
      <c r="N131" s="39">
        <f t="shared" si="34"/>
        <v>7.616583333333335</v>
      </c>
      <c r="O131" s="39">
        <f t="shared" si="34"/>
        <v>251.17433333333332</v>
      </c>
      <c r="P131" s="39">
        <f t="shared" si="34"/>
        <v>611.7436666666667</v>
      </c>
      <c r="Q131" s="39">
        <f t="shared" si="34"/>
        <v>6.653666666666666</v>
      </c>
      <c r="R131" s="40">
        <f t="shared" si="34"/>
        <v>0.057966666666666666</v>
      </c>
      <c r="S131" s="39">
        <f t="shared" si="34"/>
        <v>140.51900000000003</v>
      </c>
      <c r="T131" s="39">
        <f>SUM(T124:T130)</f>
        <v>7.041166666666666</v>
      </c>
      <c r="U131" s="38"/>
      <c r="V131" s="142"/>
      <c r="W131" s="142"/>
      <c r="X131" s="142"/>
    </row>
    <row r="132" spans="1:25" s="1" customFormat="1" ht="11.25" customHeight="1">
      <c r="A132" s="259" t="s">
        <v>63</v>
      </c>
      <c r="B132" s="260"/>
      <c r="C132" s="260"/>
      <c r="D132" s="261"/>
      <c r="E132" s="174"/>
      <c r="F132" s="122">
        <f aca="true" t="shared" si="35" ref="F132:T132">F131/F140</f>
        <v>0.39190740740740737</v>
      </c>
      <c r="G132" s="123">
        <f t="shared" si="35"/>
        <v>0.2794311594202899</v>
      </c>
      <c r="H132" s="123">
        <f t="shared" si="35"/>
        <v>0.329064403829417</v>
      </c>
      <c r="I132" s="123">
        <f t="shared" si="35"/>
        <v>0.3222729166666667</v>
      </c>
      <c r="J132" s="123">
        <f t="shared" si="35"/>
        <v>0.4801190476190476</v>
      </c>
      <c r="K132" s="123">
        <f t="shared" si="35"/>
        <v>0.33343749999999994</v>
      </c>
      <c r="L132" s="123">
        <f t="shared" si="35"/>
        <v>0.8185833333333333</v>
      </c>
      <c r="M132" s="123">
        <f t="shared" si="35"/>
        <v>0.3207407407407407</v>
      </c>
      <c r="N132" s="123">
        <f t="shared" si="35"/>
        <v>0.6347152777777779</v>
      </c>
      <c r="O132" s="123">
        <f t="shared" si="35"/>
        <v>0.20931194444444443</v>
      </c>
      <c r="P132" s="123">
        <f t="shared" si="35"/>
        <v>0.5097863888888889</v>
      </c>
      <c r="Q132" s="123">
        <f t="shared" si="35"/>
        <v>0.4752619047619047</v>
      </c>
      <c r="R132" s="123">
        <f t="shared" si="35"/>
        <v>0.5796666666666667</v>
      </c>
      <c r="S132" s="123">
        <f t="shared" si="35"/>
        <v>0.4683966666666668</v>
      </c>
      <c r="T132" s="123">
        <f t="shared" si="35"/>
        <v>0.3911759259259259</v>
      </c>
      <c r="U132" s="144"/>
      <c r="V132" s="142"/>
      <c r="W132" s="142"/>
      <c r="X132" s="142"/>
      <c r="Y132" s="139"/>
    </row>
    <row r="133" spans="1:24" s="1" customFormat="1" ht="11.25" customHeight="1" hidden="1">
      <c r="A133" s="83" t="s">
        <v>77</v>
      </c>
      <c r="B133" s="173"/>
      <c r="C133" s="173"/>
      <c r="D133" s="174"/>
      <c r="E133" s="160">
        <f>90-E131</f>
        <v>0</v>
      </c>
      <c r="F133" s="124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44"/>
      <c r="V133" s="142"/>
      <c r="W133" s="142"/>
      <c r="X133" s="142"/>
    </row>
    <row r="134" spans="1:24" s="1" customFormat="1" ht="11.25" customHeight="1">
      <c r="A134" s="276" t="s">
        <v>30</v>
      </c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11"/>
      <c r="V134" s="24"/>
      <c r="W134" s="24"/>
      <c r="X134" s="24"/>
    </row>
    <row r="135" spans="1:20" s="129" customFormat="1" ht="12" customHeight="1">
      <c r="A135" s="135"/>
      <c r="B135" s="263" t="s">
        <v>124</v>
      </c>
      <c r="C135" s="263"/>
      <c r="D135" s="131">
        <v>75</v>
      </c>
      <c r="E135" s="130">
        <v>26.39</v>
      </c>
      <c r="F135" s="130">
        <v>11</v>
      </c>
      <c r="G135" s="203">
        <v>9.5</v>
      </c>
      <c r="H135" s="203">
        <v>31.5</v>
      </c>
      <c r="I135" s="130">
        <v>255.5</v>
      </c>
      <c r="J135" s="130">
        <v>0.1</v>
      </c>
      <c r="K135" s="130">
        <v>0.3</v>
      </c>
      <c r="L135" s="130">
        <v>0.6</v>
      </c>
      <c r="M135" s="130">
        <v>0.13</v>
      </c>
      <c r="N135" s="130">
        <v>1.8</v>
      </c>
      <c r="O135" s="130">
        <v>18.6</v>
      </c>
      <c r="P135" s="130">
        <v>113.8</v>
      </c>
      <c r="Q135" s="130">
        <v>1.63</v>
      </c>
      <c r="R135" s="130">
        <v>0.01</v>
      </c>
      <c r="S135" s="130">
        <v>17.4</v>
      </c>
      <c r="T135" s="130">
        <v>0.6</v>
      </c>
    </row>
    <row r="136" spans="1:20" s="129" customFormat="1" ht="13.5" customHeight="1">
      <c r="A136" s="211">
        <v>377</v>
      </c>
      <c r="B136" s="275" t="s">
        <v>45</v>
      </c>
      <c r="C136" s="275"/>
      <c r="D136" s="137">
        <v>200</v>
      </c>
      <c r="E136" s="128">
        <v>3.61</v>
      </c>
      <c r="F136" s="128">
        <v>0.26</v>
      </c>
      <c r="G136" s="128">
        <v>0.06</v>
      </c>
      <c r="H136" s="128">
        <v>15.22</v>
      </c>
      <c r="I136" s="128">
        <v>62.46</v>
      </c>
      <c r="J136" s="128">
        <v>0</v>
      </c>
      <c r="K136" s="128">
        <v>0.01</v>
      </c>
      <c r="L136" s="128">
        <v>2.9</v>
      </c>
      <c r="M136" s="128">
        <v>0</v>
      </c>
      <c r="N136" s="128">
        <v>0.06</v>
      </c>
      <c r="O136" s="128">
        <v>8.05</v>
      </c>
      <c r="P136" s="128">
        <v>9.78</v>
      </c>
      <c r="Q136" s="128">
        <v>0.017</v>
      </c>
      <c r="R136" s="128">
        <v>0</v>
      </c>
      <c r="S136" s="128">
        <v>5.24</v>
      </c>
      <c r="T136" s="128">
        <v>0.87</v>
      </c>
    </row>
    <row r="137" spans="1:24" s="1" customFormat="1" ht="11.25" customHeight="1">
      <c r="A137" s="61" t="s">
        <v>31</v>
      </c>
      <c r="B137" s="62"/>
      <c r="C137" s="62"/>
      <c r="D137" s="65">
        <f aca="true" t="shared" si="36" ref="D137:T137">SUM(D135:D136)</f>
        <v>275</v>
      </c>
      <c r="E137" s="154">
        <f t="shared" si="36"/>
        <v>30</v>
      </c>
      <c r="F137" s="154">
        <f t="shared" si="36"/>
        <v>11.26</v>
      </c>
      <c r="G137" s="154">
        <f t="shared" si="36"/>
        <v>9.56</v>
      </c>
      <c r="H137" s="154">
        <f t="shared" si="36"/>
        <v>46.72</v>
      </c>
      <c r="I137" s="154">
        <f t="shared" si="36"/>
        <v>317.96</v>
      </c>
      <c r="J137" s="154">
        <f t="shared" si="36"/>
        <v>0.1</v>
      </c>
      <c r="K137" s="154">
        <f t="shared" si="36"/>
        <v>0.31</v>
      </c>
      <c r="L137" s="154">
        <f t="shared" si="36"/>
        <v>3.5</v>
      </c>
      <c r="M137" s="154">
        <f t="shared" si="36"/>
        <v>0.13</v>
      </c>
      <c r="N137" s="154">
        <f t="shared" si="36"/>
        <v>1.86</v>
      </c>
      <c r="O137" s="154">
        <f t="shared" si="36"/>
        <v>26.650000000000002</v>
      </c>
      <c r="P137" s="154">
        <f t="shared" si="36"/>
        <v>123.58</v>
      </c>
      <c r="Q137" s="154">
        <f t="shared" si="36"/>
        <v>1.6469999999999998</v>
      </c>
      <c r="R137" s="154">
        <f t="shared" si="36"/>
        <v>0.01</v>
      </c>
      <c r="S137" s="154">
        <f t="shared" si="36"/>
        <v>22.64</v>
      </c>
      <c r="T137" s="154">
        <f t="shared" si="36"/>
        <v>1.47</v>
      </c>
      <c r="U137" s="38"/>
      <c r="V137" s="142"/>
      <c r="W137" s="142"/>
      <c r="X137" s="142"/>
    </row>
    <row r="138" spans="1:24" s="1" customFormat="1" ht="11.25" customHeight="1">
      <c r="A138" s="259" t="s">
        <v>63</v>
      </c>
      <c r="B138" s="260"/>
      <c r="C138" s="260"/>
      <c r="D138" s="261"/>
      <c r="E138" s="127"/>
      <c r="F138" s="157">
        <f>F137/F140</f>
        <v>0.12511111111111112</v>
      </c>
      <c r="G138" s="123">
        <f aca="true" t="shared" si="37" ref="G138:T138">G137/G140</f>
        <v>0.10391304347826087</v>
      </c>
      <c r="H138" s="123">
        <f t="shared" si="37"/>
        <v>0.12198433420365536</v>
      </c>
      <c r="I138" s="123">
        <f t="shared" si="37"/>
        <v>0.11689705882352941</v>
      </c>
      <c r="J138" s="123">
        <f t="shared" si="37"/>
        <v>0.07142857142857144</v>
      </c>
      <c r="K138" s="123">
        <f t="shared" si="37"/>
        <v>0.19374999999999998</v>
      </c>
      <c r="L138" s="123">
        <f t="shared" si="37"/>
        <v>0.05</v>
      </c>
      <c r="M138" s="123">
        <f t="shared" si="37"/>
        <v>0.14444444444444446</v>
      </c>
      <c r="N138" s="123">
        <f t="shared" si="37"/>
        <v>0.155</v>
      </c>
      <c r="O138" s="123">
        <f t="shared" si="37"/>
        <v>0.022208333333333333</v>
      </c>
      <c r="P138" s="123">
        <f t="shared" si="37"/>
        <v>0.10298333333333333</v>
      </c>
      <c r="Q138" s="123">
        <f t="shared" si="37"/>
        <v>0.11764285714285713</v>
      </c>
      <c r="R138" s="123">
        <f t="shared" si="37"/>
        <v>0.09999999999999999</v>
      </c>
      <c r="S138" s="123">
        <f t="shared" si="37"/>
        <v>0.07546666666666667</v>
      </c>
      <c r="T138" s="123">
        <f t="shared" si="37"/>
        <v>0.08166666666666667</v>
      </c>
      <c r="U138" s="144"/>
      <c r="V138" s="142"/>
      <c r="W138" s="142"/>
      <c r="X138" s="142"/>
    </row>
    <row r="139" spans="1:24" s="1" customFormat="1" ht="11.25" customHeight="1">
      <c r="A139" s="259" t="s">
        <v>62</v>
      </c>
      <c r="B139" s="260"/>
      <c r="C139" s="260"/>
      <c r="D139" s="261"/>
      <c r="E139" s="174"/>
      <c r="F139" s="39">
        <f aca="true" t="shared" si="38" ref="F139:T139">SUM(F120,F131,F137)</f>
        <v>64.14333333333333</v>
      </c>
      <c r="G139" s="38">
        <f t="shared" si="38"/>
        <v>60.06100000000001</v>
      </c>
      <c r="H139" s="38">
        <f t="shared" si="38"/>
        <v>278.78666666666675</v>
      </c>
      <c r="I139" s="38">
        <f t="shared" si="38"/>
        <v>1912.3290000000002</v>
      </c>
      <c r="J139" s="39">
        <f t="shared" si="38"/>
        <v>1.0188333333333333</v>
      </c>
      <c r="K139" s="39">
        <f t="shared" si="38"/>
        <v>1.1868333333333334</v>
      </c>
      <c r="L139" s="39">
        <f t="shared" si="38"/>
        <v>78.6505</v>
      </c>
      <c r="M139" s="39">
        <f t="shared" si="38"/>
        <v>0.5421666666666667</v>
      </c>
      <c r="N139" s="39">
        <f t="shared" si="38"/>
        <v>12.414916666666667</v>
      </c>
      <c r="O139" s="39">
        <f t="shared" si="38"/>
        <v>711.7076666666666</v>
      </c>
      <c r="P139" s="38">
        <f t="shared" si="38"/>
        <v>1146.687</v>
      </c>
      <c r="Q139" s="40">
        <f t="shared" si="38"/>
        <v>9.358333333333333</v>
      </c>
      <c r="R139" s="40">
        <f t="shared" si="38"/>
        <v>0.1213</v>
      </c>
      <c r="S139" s="39">
        <f t="shared" si="38"/>
        <v>258.399</v>
      </c>
      <c r="T139" s="39">
        <f t="shared" si="38"/>
        <v>13.8245</v>
      </c>
      <c r="U139" s="42"/>
      <c r="V139" s="142"/>
      <c r="W139" s="142"/>
      <c r="X139" s="142"/>
    </row>
    <row r="140" spans="1:24" s="1" customFormat="1" ht="11.25" customHeight="1">
      <c r="A140" s="259" t="s">
        <v>64</v>
      </c>
      <c r="B140" s="260"/>
      <c r="C140" s="260"/>
      <c r="D140" s="261"/>
      <c r="E140" s="174"/>
      <c r="F140" s="148">
        <v>90</v>
      </c>
      <c r="G140" s="146">
        <v>92</v>
      </c>
      <c r="H140" s="146">
        <v>383</v>
      </c>
      <c r="I140" s="146">
        <v>2720</v>
      </c>
      <c r="J140" s="148">
        <v>1.4</v>
      </c>
      <c r="K140" s="148">
        <v>1.6</v>
      </c>
      <c r="L140" s="147">
        <v>70</v>
      </c>
      <c r="M140" s="148">
        <v>0.9</v>
      </c>
      <c r="N140" s="147">
        <v>12</v>
      </c>
      <c r="O140" s="147">
        <v>1200</v>
      </c>
      <c r="P140" s="147">
        <v>1200</v>
      </c>
      <c r="Q140" s="147">
        <v>14</v>
      </c>
      <c r="R140" s="146">
        <v>0.1</v>
      </c>
      <c r="S140" s="147">
        <v>300</v>
      </c>
      <c r="T140" s="148">
        <v>18</v>
      </c>
      <c r="U140" s="150"/>
      <c r="V140" s="151"/>
      <c r="W140" s="151"/>
      <c r="X140" s="151"/>
    </row>
    <row r="141" spans="1:24" s="1" customFormat="1" ht="11.25" customHeight="1">
      <c r="A141" s="259" t="s">
        <v>63</v>
      </c>
      <c r="B141" s="260"/>
      <c r="C141" s="260"/>
      <c r="D141" s="261"/>
      <c r="E141" s="174"/>
      <c r="F141" s="76">
        <f aca="true" t="shared" si="39" ref="F141:T141">F139/F140</f>
        <v>0.7127037037037037</v>
      </c>
      <c r="G141" s="123">
        <f t="shared" si="39"/>
        <v>0.6528369565217392</v>
      </c>
      <c r="H141" s="44">
        <f t="shared" si="39"/>
        <v>0.7279025239338557</v>
      </c>
      <c r="I141" s="44">
        <f t="shared" si="39"/>
        <v>0.7030621323529412</v>
      </c>
      <c r="J141" s="44">
        <f t="shared" si="39"/>
        <v>0.7277380952380952</v>
      </c>
      <c r="K141" s="44">
        <f t="shared" si="39"/>
        <v>0.7417708333333334</v>
      </c>
      <c r="L141" s="44">
        <f t="shared" si="39"/>
        <v>1.1235785714285713</v>
      </c>
      <c r="M141" s="45">
        <f t="shared" si="39"/>
        <v>0.6024074074074074</v>
      </c>
      <c r="N141" s="44">
        <f t="shared" si="39"/>
        <v>1.0345763888888888</v>
      </c>
      <c r="O141" s="44">
        <f t="shared" si="39"/>
        <v>0.5930897222222221</v>
      </c>
      <c r="P141" s="44">
        <f t="shared" si="39"/>
        <v>0.9555724999999999</v>
      </c>
      <c r="Q141" s="44">
        <f t="shared" si="39"/>
        <v>0.6684523809523809</v>
      </c>
      <c r="R141" s="44">
        <f>R139/R140</f>
        <v>1.213</v>
      </c>
      <c r="S141" s="44">
        <f t="shared" si="39"/>
        <v>0.86133</v>
      </c>
      <c r="T141" s="45">
        <f t="shared" si="39"/>
        <v>0.7680277777777778</v>
      </c>
      <c r="U141" s="46"/>
      <c r="V141" s="47"/>
      <c r="W141" s="47"/>
      <c r="X141" s="47"/>
    </row>
    <row r="142" spans="1:24" s="1" customFormat="1" ht="11.25" customHeight="1">
      <c r="A142" s="54"/>
      <c r="B142" s="54"/>
      <c r="C142" s="110"/>
      <c r="D142" s="110"/>
      <c r="E142" s="117"/>
      <c r="F142" s="102"/>
      <c r="G142" s="71"/>
      <c r="H142" s="2"/>
      <c r="I142" s="2"/>
      <c r="J142" s="71"/>
      <c r="K142" s="71"/>
      <c r="L142" s="71"/>
      <c r="M142" s="269" t="s">
        <v>66</v>
      </c>
      <c r="N142" s="269"/>
      <c r="O142" s="269"/>
      <c r="P142" s="269"/>
      <c r="Q142" s="269"/>
      <c r="R142" s="269"/>
      <c r="S142" s="269"/>
      <c r="T142" s="269"/>
      <c r="U142" s="12"/>
      <c r="V142" s="19"/>
      <c r="W142" s="19"/>
      <c r="X142" s="19"/>
    </row>
    <row r="143" spans="1:24" s="1" customFormat="1" ht="11.25" customHeight="1">
      <c r="A143" s="54"/>
      <c r="B143" s="54"/>
      <c r="C143" s="110"/>
      <c r="D143" s="110"/>
      <c r="E143" s="117"/>
      <c r="F143" s="102"/>
      <c r="G143" s="71"/>
      <c r="H143" s="2"/>
      <c r="I143" s="2"/>
      <c r="J143" s="71"/>
      <c r="K143" s="71"/>
      <c r="L143" s="71"/>
      <c r="M143" s="111"/>
      <c r="N143" s="111"/>
      <c r="O143" s="111"/>
      <c r="P143" s="111"/>
      <c r="Q143" s="111"/>
      <c r="R143" s="111"/>
      <c r="S143" s="111"/>
      <c r="T143" s="111"/>
      <c r="U143" s="12"/>
      <c r="V143" s="19"/>
      <c r="W143" s="19"/>
      <c r="X143" s="19"/>
    </row>
    <row r="144" spans="1:24" s="1" customFormat="1" ht="11.25" customHeight="1">
      <c r="A144" s="262" t="s">
        <v>38</v>
      </c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13"/>
      <c r="V144" s="25"/>
      <c r="W144" s="25"/>
      <c r="X144" s="25"/>
    </row>
    <row r="145" spans="1:24" s="1" customFormat="1" ht="11.25" customHeight="1">
      <c r="A145" s="58" t="s">
        <v>55</v>
      </c>
      <c r="B145" s="54"/>
      <c r="C145" s="54"/>
      <c r="D145" s="2"/>
      <c r="E145" s="2"/>
      <c r="F145" s="34"/>
      <c r="G145" s="240" t="s">
        <v>39</v>
      </c>
      <c r="H145" s="240"/>
      <c r="I145" s="240"/>
      <c r="J145" s="71"/>
      <c r="K145" s="71"/>
      <c r="L145" s="247" t="s">
        <v>2</v>
      </c>
      <c r="M145" s="247"/>
      <c r="N145" s="256"/>
      <c r="O145" s="256"/>
      <c r="P145" s="256"/>
      <c r="Q145" s="256"/>
      <c r="R145" s="71"/>
      <c r="S145" s="71"/>
      <c r="T145" s="71"/>
      <c r="U145" s="14"/>
      <c r="V145" s="20"/>
      <c r="W145" s="20"/>
      <c r="X145" s="20"/>
    </row>
    <row r="146" spans="1:24" s="1" customFormat="1" ht="11.25" customHeight="1">
      <c r="A146" s="54"/>
      <c r="B146" s="54"/>
      <c r="C146" s="54"/>
      <c r="D146" s="235" t="s">
        <v>3</v>
      </c>
      <c r="E146" s="235"/>
      <c r="F146" s="235"/>
      <c r="G146" s="7">
        <v>1</v>
      </c>
      <c r="H146" s="71"/>
      <c r="I146" s="2"/>
      <c r="J146" s="2"/>
      <c r="K146" s="2"/>
      <c r="L146" s="235" t="s">
        <v>4</v>
      </c>
      <c r="M146" s="235"/>
      <c r="N146" s="239" t="s">
        <v>57</v>
      </c>
      <c r="O146" s="239"/>
      <c r="P146" s="239"/>
      <c r="Q146" s="239"/>
      <c r="R146" s="239"/>
      <c r="S146" s="239"/>
      <c r="T146" s="239"/>
      <c r="U146" s="15"/>
      <c r="V146" s="21"/>
      <c r="W146" s="21"/>
      <c r="X146" s="21"/>
    </row>
    <row r="147" spans="1:24" s="1" customFormat="1" ht="21.75" customHeight="1">
      <c r="A147" s="241" t="s">
        <v>5</v>
      </c>
      <c r="B147" s="243" t="s">
        <v>6</v>
      </c>
      <c r="C147" s="244"/>
      <c r="D147" s="241" t="s">
        <v>7</v>
      </c>
      <c r="E147" s="119"/>
      <c r="F147" s="248" t="s">
        <v>8</v>
      </c>
      <c r="G147" s="249"/>
      <c r="H147" s="250"/>
      <c r="I147" s="241" t="s">
        <v>9</v>
      </c>
      <c r="J147" s="248" t="s">
        <v>10</v>
      </c>
      <c r="K147" s="249"/>
      <c r="L147" s="249"/>
      <c r="M147" s="249"/>
      <c r="N147" s="250"/>
      <c r="O147" s="248" t="s">
        <v>11</v>
      </c>
      <c r="P147" s="249"/>
      <c r="Q147" s="249"/>
      <c r="R147" s="249"/>
      <c r="S147" s="249"/>
      <c r="T147" s="250"/>
      <c r="U147" s="9"/>
      <c r="V147" s="22"/>
      <c r="W147" s="22"/>
      <c r="X147" s="22"/>
    </row>
    <row r="148" spans="1:24" s="1" customFormat="1" ht="21" customHeight="1">
      <c r="A148" s="242"/>
      <c r="B148" s="245"/>
      <c r="C148" s="246"/>
      <c r="D148" s="242"/>
      <c r="E148" s="118"/>
      <c r="F148" s="100" t="s">
        <v>12</v>
      </c>
      <c r="G148" s="112" t="s">
        <v>13</v>
      </c>
      <c r="H148" s="112" t="s">
        <v>14</v>
      </c>
      <c r="I148" s="242"/>
      <c r="J148" s="112" t="s">
        <v>15</v>
      </c>
      <c r="K148" s="112" t="s">
        <v>58</v>
      </c>
      <c r="L148" s="112" t="s">
        <v>16</v>
      </c>
      <c r="M148" s="112" t="s">
        <v>17</v>
      </c>
      <c r="N148" s="112" t="s">
        <v>18</v>
      </c>
      <c r="O148" s="112" t="s">
        <v>19</v>
      </c>
      <c r="P148" s="112" t="s">
        <v>20</v>
      </c>
      <c r="Q148" s="112" t="s">
        <v>59</v>
      </c>
      <c r="R148" s="112" t="s">
        <v>60</v>
      </c>
      <c r="S148" s="112" t="s">
        <v>21</v>
      </c>
      <c r="T148" s="112" t="s">
        <v>22</v>
      </c>
      <c r="U148" s="9"/>
      <c r="V148" s="22"/>
      <c r="W148" s="22"/>
      <c r="X148" s="22"/>
    </row>
    <row r="149" spans="1:24" s="1" customFormat="1" ht="11.25" customHeight="1">
      <c r="A149" s="113">
        <v>1</v>
      </c>
      <c r="B149" s="257">
        <v>2</v>
      </c>
      <c r="C149" s="258"/>
      <c r="D149" s="37">
        <v>3</v>
      </c>
      <c r="E149" s="37"/>
      <c r="F149" s="101">
        <v>4</v>
      </c>
      <c r="G149" s="37">
        <v>5</v>
      </c>
      <c r="H149" s="37">
        <v>6</v>
      </c>
      <c r="I149" s="37">
        <v>7</v>
      </c>
      <c r="J149" s="37">
        <v>8</v>
      </c>
      <c r="K149" s="37">
        <v>9</v>
      </c>
      <c r="L149" s="37">
        <v>10</v>
      </c>
      <c r="M149" s="37">
        <v>11</v>
      </c>
      <c r="N149" s="37">
        <v>12</v>
      </c>
      <c r="O149" s="37">
        <v>13</v>
      </c>
      <c r="P149" s="37">
        <v>14</v>
      </c>
      <c r="Q149" s="37">
        <v>15</v>
      </c>
      <c r="R149" s="37">
        <v>16</v>
      </c>
      <c r="S149" s="37">
        <v>17</v>
      </c>
      <c r="T149" s="37">
        <v>18</v>
      </c>
      <c r="U149" s="10"/>
      <c r="V149" s="23"/>
      <c r="W149" s="23"/>
      <c r="X149" s="23"/>
    </row>
    <row r="150" spans="1:24" s="1" customFormat="1" ht="11.25" customHeight="1">
      <c r="A150" s="232" t="s">
        <v>26</v>
      </c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4"/>
      <c r="U150" s="11"/>
      <c r="V150" s="24"/>
      <c r="W150" s="24"/>
      <c r="X150" s="24"/>
    </row>
    <row r="151" spans="1:24" s="1" customFormat="1" ht="11.25" customHeight="1">
      <c r="A151" s="82">
        <v>131</v>
      </c>
      <c r="B151" s="221" t="s">
        <v>82</v>
      </c>
      <c r="C151" s="222"/>
      <c r="D151" s="195">
        <v>30</v>
      </c>
      <c r="E151" s="148">
        <v>6.45</v>
      </c>
      <c r="F151" s="87">
        <f>4.6*D151/20</f>
        <v>6.9</v>
      </c>
      <c r="G151" s="88">
        <f>0.24*D151/20</f>
        <v>0.36</v>
      </c>
      <c r="H151" s="87">
        <f>10.66*D151/20</f>
        <v>15.99</v>
      </c>
      <c r="I151" s="87">
        <f aca="true" t="shared" si="40" ref="I151:I156">F151*4+G151*9+H151*4</f>
        <v>94.8</v>
      </c>
      <c r="J151" s="88">
        <f>0.16*D151/20</f>
        <v>0.24</v>
      </c>
      <c r="K151" s="88">
        <f>0.04*D151/20</f>
        <v>0.06</v>
      </c>
      <c r="L151" s="86">
        <v>0</v>
      </c>
      <c r="M151" s="107">
        <f>0.002*D151/20</f>
        <v>0.003</v>
      </c>
      <c r="N151" s="88">
        <f>1.82*D151/20</f>
        <v>2.73</v>
      </c>
      <c r="O151" s="89">
        <f>23*D151/20</f>
        <v>34.5</v>
      </c>
      <c r="P151" s="89">
        <f>65.8*D151/20</f>
        <v>98.7</v>
      </c>
      <c r="Q151" s="87">
        <f>0.64*D151/20</f>
        <v>0.96</v>
      </c>
      <c r="R151" s="107">
        <f>0.00102*D151/20</f>
        <v>0.0015300000000000001</v>
      </c>
      <c r="S151" s="89">
        <f>21.4*D151/20</f>
        <v>32.1</v>
      </c>
      <c r="T151" s="107">
        <f>0.004*D151/20</f>
        <v>0.006</v>
      </c>
      <c r="U151" s="11"/>
      <c r="V151" s="24"/>
      <c r="W151" s="24"/>
      <c r="X151" s="24"/>
    </row>
    <row r="152" spans="1:24" s="3" customFormat="1" ht="11.25" customHeight="1">
      <c r="A152" s="121">
        <v>15</v>
      </c>
      <c r="B152" s="221" t="s">
        <v>79</v>
      </c>
      <c r="C152" s="222"/>
      <c r="D152" s="70">
        <v>20</v>
      </c>
      <c r="E152" s="148">
        <v>12.8</v>
      </c>
      <c r="F152" s="72">
        <f>2.32*D152/10</f>
        <v>4.64</v>
      </c>
      <c r="G152" s="72">
        <f>3.4*D152/10</f>
        <v>6.8</v>
      </c>
      <c r="H152" s="72">
        <f>0.01*D152/10</f>
        <v>0.02</v>
      </c>
      <c r="I152" s="72">
        <f t="shared" si="40"/>
        <v>79.83999999999999</v>
      </c>
      <c r="J152" s="72">
        <f>0.004*D152/10</f>
        <v>0.008</v>
      </c>
      <c r="K152" s="72">
        <f>0.03*D152/10</f>
        <v>0.06</v>
      </c>
      <c r="L152" s="72">
        <f>0.07*D152/10</f>
        <v>0.14</v>
      </c>
      <c r="M152" s="73">
        <f>0.023*D152/10</f>
        <v>0.046</v>
      </c>
      <c r="N152" s="72">
        <f>0.05*D152/10</f>
        <v>0.1</v>
      </c>
      <c r="O152" s="72">
        <f>88*D152/10</f>
        <v>176</v>
      </c>
      <c r="P152" s="72">
        <f>50*D152/10</f>
        <v>100</v>
      </c>
      <c r="Q152" s="72">
        <f>0.4*D152/10</f>
        <v>0.8</v>
      </c>
      <c r="R152" s="73">
        <f>0.02*D152/10</f>
        <v>0.04</v>
      </c>
      <c r="S152" s="72">
        <f>3.5*D152/10</f>
        <v>7</v>
      </c>
      <c r="T152" s="72">
        <f>0.13*D152/10</f>
        <v>0.26</v>
      </c>
      <c r="U152" s="74"/>
      <c r="V152" s="75"/>
      <c r="W152" s="75"/>
      <c r="X152" s="75"/>
    </row>
    <row r="153" spans="1:24" s="3" customFormat="1" ht="13.5" customHeight="1">
      <c r="A153" s="113">
        <v>210</v>
      </c>
      <c r="B153" s="221" t="s">
        <v>48</v>
      </c>
      <c r="C153" s="222"/>
      <c r="D153" s="70">
        <v>150</v>
      </c>
      <c r="E153" s="148">
        <v>31.45</v>
      </c>
      <c r="F153" s="72">
        <f>16.29*D153/200</f>
        <v>12.2175</v>
      </c>
      <c r="G153" s="72">
        <f>18.99*D153/200</f>
        <v>14.242499999999998</v>
      </c>
      <c r="H153" s="72">
        <f>5.04*D153/200</f>
        <v>3.78</v>
      </c>
      <c r="I153" s="72">
        <f t="shared" si="40"/>
        <v>192.17249999999999</v>
      </c>
      <c r="J153" s="72">
        <f>0.117*D153/200</f>
        <v>0.08775000000000001</v>
      </c>
      <c r="K153" s="72">
        <f>0.27*D153/200</f>
        <v>0.2025</v>
      </c>
      <c r="L153" s="72">
        <f>0.324*D153/200</f>
        <v>0.243</v>
      </c>
      <c r="M153" s="72">
        <f>0.036*D153/200</f>
        <v>0.026999999999999996</v>
      </c>
      <c r="N153" s="68">
        <f>1.94*D153/200</f>
        <v>1.455</v>
      </c>
      <c r="O153" s="72">
        <f>131.38*D153/200</f>
        <v>98.535</v>
      </c>
      <c r="P153" s="72">
        <f>248.5*D153/200</f>
        <v>186.375</v>
      </c>
      <c r="Q153" s="72">
        <f>1.35*D153/200</f>
        <v>1.0125</v>
      </c>
      <c r="R153" s="72">
        <f>0.03*D153/200</f>
        <v>0.0225</v>
      </c>
      <c r="S153" s="72">
        <f>21.55*D153/200</f>
        <v>16.1625</v>
      </c>
      <c r="T153" s="72">
        <f>1.51*D153/200</f>
        <v>1.1325</v>
      </c>
      <c r="U153" s="74"/>
      <c r="V153" s="75"/>
      <c r="W153" s="75"/>
      <c r="X153" s="75"/>
    </row>
    <row r="154" spans="1:24" s="71" customFormat="1" ht="11.25">
      <c r="A154" s="121">
        <v>338</v>
      </c>
      <c r="B154" s="255" t="s">
        <v>112</v>
      </c>
      <c r="C154" s="255"/>
      <c r="D154" s="70">
        <v>100</v>
      </c>
      <c r="E154" s="148">
        <v>12.59</v>
      </c>
      <c r="F154" s="72">
        <v>0.4</v>
      </c>
      <c r="G154" s="68">
        <v>0.4</v>
      </c>
      <c r="H154" s="69">
        <v>9.8</v>
      </c>
      <c r="I154" s="69">
        <f t="shared" si="40"/>
        <v>44.400000000000006</v>
      </c>
      <c r="J154" s="72">
        <v>0.04</v>
      </c>
      <c r="K154" s="72">
        <v>0.02</v>
      </c>
      <c r="L154" s="70">
        <v>10</v>
      </c>
      <c r="M154" s="70">
        <v>0.02</v>
      </c>
      <c r="N154" s="72">
        <v>0.2</v>
      </c>
      <c r="O154" s="72">
        <v>16</v>
      </c>
      <c r="P154" s="72">
        <v>11</v>
      </c>
      <c r="Q154" s="70">
        <v>0.03</v>
      </c>
      <c r="R154" s="70">
        <v>0.002</v>
      </c>
      <c r="S154" s="72">
        <v>9</v>
      </c>
      <c r="T154" s="72">
        <v>2.2</v>
      </c>
      <c r="U154" s="74"/>
      <c r="V154" s="75"/>
      <c r="W154" s="75"/>
      <c r="X154" s="75"/>
    </row>
    <row r="155" spans="1:24" s="140" customFormat="1" ht="12.75" customHeight="1">
      <c r="A155" s="156">
        <v>377</v>
      </c>
      <c r="B155" s="255" t="s">
        <v>45</v>
      </c>
      <c r="C155" s="255"/>
      <c r="D155" s="147">
        <v>200</v>
      </c>
      <c r="E155" s="148">
        <v>3.61</v>
      </c>
      <c r="F155" s="148">
        <v>0.26</v>
      </c>
      <c r="G155" s="148">
        <v>0.06</v>
      </c>
      <c r="H155" s="148">
        <v>15.22</v>
      </c>
      <c r="I155" s="148">
        <f t="shared" si="40"/>
        <v>62.46</v>
      </c>
      <c r="J155" s="148"/>
      <c r="K155" s="148">
        <v>0.01</v>
      </c>
      <c r="L155" s="148">
        <v>2.9</v>
      </c>
      <c r="M155" s="145">
        <v>0</v>
      </c>
      <c r="N155" s="148">
        <v>0.06</v>
      </c>
      <c r="O155" s="148">
        <v>8.05</v>
      </c>
      <c r="P155" s="148">
        <v>9.78</v>
      </c>
      <c r="Q155" s="148">
        <v>0.017</v>
      </c>
      <c r="R155" s="149">
        <v>0</v>
      </c>
      <c r="S155" s="148">
        <v>5.24</v>
      </c>
      <c r="T155" s="148">
        <v>0.87</v>
      </c>
      <c r="U155" s="150"/>
      <c r="V155" s="151"/>
      <c r="W155" s="151"/>
      <c r="X155" s="151"/>
    </row>
    <row r="156" spans="1:24" s="3" customFormat="1" ht="12.75" customHeight="1">
      <c r="A156" s="77" t="s">
        <v>67</v>
      </c>
      <c r="B156" s="221" t="s">
        <v>53</v>
      </c>
      <c r="C156" s="222"/>
      <c r="D156" s="70">
        <v>40</v>
      </c>
      <c r="E156" s="148">
        <v>3.1</v>
      </c>
      <c r="F156" s="72">
        <f>1.52*D156/30</f>
        <v>2.0266666666666664</v>
      </c>
      <c r="G156" s="73">
        <f>0.16*D156/30</f>
        <v>0.21333333333333335</v>
      </c>
      <c r="H156" s="73">
        <f>9.84*D156/30</f>
        <v>13.120000000000001</v>
      </c>
      <c r="I156" s="73">
        <f t="shared" si="40"/>
        <v>62.50666666666667</v>
      </c>
      <c r="J156" s="73">
        <f>0.02*D156/30</f>
        <v>0.02666666666666667</v>
      </c>
      <c r="K156" s="73">
        <f>0.01*D156/30</f>
        <v>0.013333333333333334</v>
      </c>
      <c r="L156" s="73">
        <f>0.44*D156/30</f>
        <v>0.5866666666666667</v>
      </c>
      <c r="M156" s="73">
        <v>0</v>
      </c>
      <c r="N156" s="73">
        <f>0.7*D156/30</f>
        <v>0.9333333333333333</v>
      </c>
      <c r="O156" s="73">
        <f>4*D156/30</f>
        <v>5.333333333333333</v>
      </c>
      <c r="P156" s="73">
        <f>13*D156/30</f>
        <v>17.333333333333332</v>
      </c>
      <c r="Q156" s="73">
        <f>0.008*D156/30</f>
        <v>0.010666666666666666</v>
      </c>
      <c r="R156" s="73">
        <f>0.001*D156/30</f>
        <v>0.0013333333333333333</v>
      </c>
      <c r="S156" s="73">
        <v>0</v>
      </c>
      <c r="T156" s="73">
        <f>0.22*D156/30</f>
        <v>0.29333333333333333</v>
      </c>
      <c r="U156" s="74"/>
      <c r="V156" s="75"/>
      <c r="W156" s="75"/>
      <c r="X156" s="75"/>
    </row>
    <row r="157" spans="1:24" s="3" customFormat="1" ht="11.25" customHeight="1">
      <c r="A157" s="61" t="s">
        <v>27</v>
      </c>
      <c r="B157" s="62"/>
      <c r="C157" s="62"/>
      <c r="D157" s="65">
        <f>SUM(D151:D156)</f>
        <v>540</v>
      </c>
      <c r="E157" s="154">
        <f>SUM(E151:E156)</f>
        <v>70</v>
      </c>
      <c r="F157" s="39">
        <f aca="true" t="shared" si="41" ref="F157:T157">SUM(F152:F156)</f>
        <v>19.544166666666666</v>
      </c>
      <c r="G157" s="38">
        <f t="shared" si="41"/>
        <v>21.71583333333333</v>
      </c>
      <c r="H157" s="38">
        <f t="shared" si="41"/>
        <v>41.94</v>
      </c>
      <c r="I157" s="38">
        <f t="shared" si="41"/>
        <v>441.37916666666666</v>
      </c>
      <c r="J157" s="38">
        <f t="shared" si="41"/>
        <v>0.16241666666666668</v>
      </c>
      <c r="K157" s="38">
        <f t="shared" si="41"/>
        <v>0.30583333333333335</v>
      </c>
      <c r="L157" s="38">
        <f t="shared" si="41"/>
        <v>13.869666666666665</v>
      </c>
      <c r="M157" s="38">
        <f t="shared" si="41"/>
        <v>0.093</v>
      </c>
      <c r="N157" s="40">
        <f t="shared" si="41"/>
        <v>2.7483333333333335</v>
      </c>
      <c r="O157" s="38">
        <f t="shared" si="41"/>
        <v>303.9183333333333</v>
      </c>
      <c r="P157" s="49">
        <f t="shared" si="41"/>
        <v>324.4883333333333</v>
      </c>
      <c r="Q157" s="39">
        <f t="shared" si="41"/>
        <v>1.8701666666666665</v>
      </c>
      <c r="R157" s="40">
        <f t="shared" si="41"/>
        <v>0.06583333333333334</v>
      </c>
      <c r="S157" s="38">
        <f t="shared" si="41"/>
        <v>37.4025</v>
      </c>
      <c r="T157" s="39">
        <f t="shared" si="41"/>
        <v>4.755833333333333</v>
      </c>
      <c r="U157" s="38"/>
      <c r="V157" s="41"/>
      <c r="W157" s="41"/>
      <c r="X157" s="41"/>
    </row>
    <row r="158" spans="1:24" s="3" customFormat="1" ht="11.25" customHeight="1">
      <c r="A158" s="229" t="s">
        <v>63</v>
      </c>
      <c r="B158" s="230"/>
      <c r="C158" s="230"/>
      <c r="D158" s="231"/>
      <c r="E158" s="115"/>
      <c r="F158" s="106">
        <f aca="true" t="shared" si="42" ref="F158:T158">F157/F177</f>
        <v>0.21715740740740738</v>
      </c>
      <c r="G158" s="76">
        <f t="shared" si="42"/>
        <v>0.23604166666666662</v>
      </c>
      <c r="H158" s="76">
        <f t="shared" si="42"/>
        <v>0.10950391644908615</v>
      </c>
      <c r="I158" s="76">
        <f t="shared" si="42"/>
        <v>0.16227175245098038</v>
      </c>
      <c r="J158" s="76">
        <f t="shared" si="42"/>
        <v>0.11601190476190477</v>
      </c>
      <c r="K158" s="76">
        <f t="shared" si="42"/>
        <v>0.19114583333333332</v>
      </c>
      <c r="L158" s="76">
        <f t="shared" si="42"/>
        <v>0.19813809523809522</v>
      </c>
      <c r="M158" s="76">
        <f t="shared" si="42"/>
        <v>0.10333333333333333</v>
      </c>
      <c r="N158" s="76">
        <f t="shared" si="42"/>
        <v>0.2290277777777778</v>
      </c>
      <c r="O158" s="76">
        <f t="shared" si="42"/>
        <v>0.25326527777777774</v>
      </c>
      <c r="P158" s="76">
        <f t="shared" si="42"/>
        <v>0.2704069444444444</v>
      </c>
      <c r="Q158" s="76">
        <f t="shared" si="42"/>
        <v>0.13358333333333333</v>
      </c>
      <c r="R158" s="76">
        <f t="shared" si="42"/>
        <v>0.6583333333333333</v>
      </c>
      <c r="S158" s="76">
        <f t="shared" si="42"/>
        <v>0.12467500000000001</v>
      </c>
      <c r="T158" s="44">
        <f t="shared" si="42"/>
        <v>0.264212962962963</v>
      </c>
      <c r="U158" s="48"/>
      <c r="V158" s="41"/>
      <c r="W158" s="41"/>
      <c r="X158" s="41"/>
    </row>
    <row r="159" spans="1:24" s="140" customFormat="1" ht="11.25" customHeight="1" hidden="1">
      <c r="A159" s="158"/>
      <c r="B159" s="159"/>
      <c r="C159" s="159"/>
      <c r="D159" s="159"/>
      <c r="E159" s="171">
        <f>70-E157</f>
        <v>0</v>
      </c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69"/>
      <c r="U159" s="144"/>
      <c r="V159" s="142"/>
      <c r="W159" s="142"/>
      <c r="X159" s="142"/>
    </row>
    <row r="160" spans="1:24" s="3" customFormat="1" ht="11.25" customHeight="1">
      <c r="A160" s="232" t="s">
        <v>28</v>
      </c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4"/>
      <c r="U160" s="11"/>
      <c r="V160" s="24"/>
      <c r="W160" s="24"/>
      <c r="X160" s="24"/>
    </row>
    <row r="161" spans="1:24" s="140" customFormat="1" ht="20.25" customHeight="1">
      <c r="A161" s="67">
        <v>71</v>
      </c>
      <c r="B161" s="221" t="s">
        <v>130</v>
      </c>
      <c r="C161" s="222"/>
      <c r="D161" s="79">
        <v>50</v>
      </c>
      <c r="E161" s="79">
        <v>7.68</v>
      </c>
      <c r="F161" s="199">
        <f>0.5*D161/60</f>
        <v>0.4166666666666667</v>
      </c>
      <c r="G161" s="199">
        <f>0.03*D161/30</f>
        <v>0.05</v>
      </c>
      <c r="H161" s="199">
        <f>1.7*D161/60</f>
        <v>1.4166666666666667</v>
      </c>
      <c r="I161" s="199">
        <f>F161*4+G161*9+H161*4</f>
        <v>7.783333333333333</v>
      </c>
      <c r="J161" s="80">
        <v>0.009</v>
      </c>
      <c r="K161" s="199">
        <v>0.01</v>
      </c>
      <c r="L161" s="81">
        <v>3</v>
      </c>
      <c r="M161" s="80">
        <v>0.003</v>
      </c>
      <c r="N161" s="79">
        <v>0.03</v>
      </c>
      <c r="O161" s="199">
        <v>6.9</v>
      </c>
      <c r="P161" s="199">
        <v>12.6</v>
      </c>
      <c r="Q161" s="80">
        <v>0.064</v>
      </c>
      <c r="R161" s="80">
        <v>0.001</v>
      </c>
      <c r="S161" s="199">
        <v>4.2</v>
      </c>
      <c r="T161" s="199">
        <v>0.18</v>
      </c>
      <c r="U161" s="32"/>
      <c r="V161" s="33"/>
      <c r="W161" s="33"/>
      <c r="X161" s="33"/>
    </row>
    <row r="162" spans="1:24" s="71" customFormat="1" ht="21.75" customHeight="1">
      <c r="A162" s="113">
        <v>106</v>
      </c>
      <c r="B162" s="270" t="s">
        <v>106</v>
      </c>
      <c r="C162" s="271"/>
      <c r="D162" s="68">
        <v>250</v>
      </c>
      <c r="E162" s="68">
        <v>12.61</v>
      </c>
      <c r="F162" s="72">
        <v>8.61</v>
      </c>
      <c r="G162" s="72">
        <v>8.4</v>
      </c>
      <c r="H162" s="72">
        <v>14.34</v>
      </c>
      <c r="I162" s="72">
        <v>167.25</v>
      </c>
      <c r="J162" s="72">
        <v>0.1</v>
      </c>
      <c r="K162" s="72">
        <v>0</v>
      </c>
      <c r="L162" s="72">
        <v>9.11</v>
      </c>
      <c r="M162" s="72">
        <v>15</v>
      </c>
      <c r="N162" s="73">
        <v>0</v>
      </c>
      <c r="O162" s="72">
        <v>45.3</v>
      </c>
      <c r="P162" s="72">
        <v>176.53</v>
      </c>
      <c r="Q162" s="72">
        <v>0</v>
      </c>
      <c r="R162" s="72">
        <v>0</v>
      </c>
      <c r="S162" s="72">
        <v>47.35</v>
      </c>
      <c r="T162" s="72">
        <v>1.26</v>
      </c>
      <c r="U162" s="74"/>
      <c r="V162" s="75"/>
      <c r="W162" s="75"/>
      <c r="X162" s="75"/>
    </row>
    <row r="163" spans="1:24" s="140" customFormat="1" ht="12.75" customHeight="1">
      <c r="A163" s="198">
        <v>293</v>
      </c>
      <c r="B163" s="221" t="s">
        <v>108</v>
      </c>
      <c r="C163" s="222"/>
      <c r="D163" s="147">
        <v>120</v>
      </c>
      <c r="E163" s="148">
        <v>45.87</v>
      </c>
      <c r="F163" s="148">
        <v>33.09</v>
      </c>
      <c r="G163" s="148">
        <v>27.34</v>
      </c>
      <c r="H163" s="148">
        <v>8.82</v>
      </c>
      <c r="I163" s="148">
        <v>414.37</v>
      </c>
      <c r="J163" s="148">
        <v>0.09</v>
      </c>
      <c r="K163" s="148">
        <v>0</v>
      </c>
      <c r="L163" s="148">
        <v>0.045</v>
      </c>
      <c r="M163" s="147">
        <v>80.62</v>
      </c>
      <c r="N163" s="145">
        <v>0</v>
      </c>
      <c r="O163" s="146">
        <v>102.19</v>
      </c>
      <c r="P163" s="148">
        <v>249.19</v>
      </c>
      <c r="Q163" s="147">
        <v>0</v>
      </c>
      <c r="R163" s="147">
        <v>0</v>
      </c>
      <c r="S163" s="148">
        <v>38.07</v>
      </c>
      <c r="T163" s="148">
        <v>3.04</v>
      </c>
      <c r="U163" s="150"/>
      <c r="V163" s="151"/>
      <c r="W163" s="151"/>
      <c r="X163" s="151"/>
    </row>
    <row r="164" spans="1:24" s="140" customFormat="1" ht="12.75" customHeight="1">
      <c r="A164" s="153">
        <v>171</v>
      </c>
      <c r="B164" s="221" t="s">
        <v>24</v>
      </c>
      <c r="C164" s="222"/>
      <c r="D164" s="147">
        <v>180</v>
      </c>
      <c r="E164" s="148">
        <v>13.8</v>
      </c>
      <c r="F164" s="148">
        <f>6.57*D164/150</f>
        <v>7.884000000000001</v>
      </c>
      <c r="G164" s="148">
        <f>4.19*D164/150</f>
        <v>5.0280000000000005</v>
      </c>
      <c r="H164" s="148">
        <f>32.32*D164/150</f>
        <v>38.784</v>
      </c>
      <c r="I164" s="148">
        <f>F164*4+G164*9+H164*4</f>
        <v>231.924</v>
      </c>
      <c r="J164" s="149">
        <f>0.06*D164/150</f>
        <v>0.072</v>
      </c>
      <c r="K164" s="149">
        <f>0.03*D164/150</f>
        <v>0.036</v>
      </c>
      <c r="L164" s="145">
        <v>0</v>
      </c>
      <c r="M164" s="149">
        <f>0.03*D164/150</f>
        <v>0.036</v>
      </c>
      <c r="N164" s="145">
        <f>2.55*D164/150</f>
        <v>3.0599999999999996</v>
      </c>
      <c r="O164" s="148">
        <f>18.12*D164/150</f>
        <v>21.744000000000003</v>
      </c>
      <c r="P164" s="148">
        <f>157.03*D164/150</f>
        <v>188.436</v>
      </c>
      <c r="Q164" s="149">
        <f>0.8874*D164/150</f>
        <v>1.06488</v>
      </c>
      <c r="R164" s="149">
        <f>0.00135*D164/150</f>
        <v>0.0016200000000000001</v>
      </c>
      <c r="S164" s="148">
        <f>104.45*D164/150</f>
        <v>125.34</v>
      </c>
      <c r="T164" s="148">
        <f>3.55*D164/150</f>
        <v>4.26</v>
      </c>
      <c r="U164" s="150"/>
      <c r="V164" s="151"/>
      <c r="W164" s="151"/>
      <c r="X164" s="151"/>
    </row>
    <row r="165" spans="1:24" s="140" customFormat="1" ht="11.25">
      <c r="A165" s="133">
        <v>345</v>
      </c>
      <c r="B165" s="275" t="s">
        <v>49</v>
      </c>
      <c r="C165" s="275"/>
      <c r="D165" s="137">
        <v>200</v>
      </c>
      <c r="E165" s="128">
        <v>4.9</v>
      </c>
      <c r="F165" s="128">
        <v>0.06</v>
      </c>
      <c r="G165" s="128">
        <v>0.02</v>
      </c>
      <c r="H165" s="128">
        <v>20.73</v>
      </c>
      <c r="I165" s="128">
        <v>83.34</v>
      </c>
      <c r="J165" s="128">
        <v>0</v>
      </c>
      <c r="K165" s="128">
        <v>0</v>
      </c>
      <c r="L165" s="128">
        <v>2.5</v>
      </c>
      <c r="M165" s="128">
        <v>0.004</v>
      </c>
      <c r="N165" s="128">
        <v>0.2</v>
      </c>
      <c r="O165" s="128">
        <v>4</v>
      </c>
      <c r="P165" s="128">
        <v>3.3</v>
      </c>
      <c r="Q165" s="128">
        <v>0.08</v>
      </c>
      <c r="R165" s="128">
        <v>0.001</v>
      </c>
      <c r="S165" s="128">
        <v>1.7</v>
      </c>
      <c r="T165" s="128">
        <v>0.15</v>
      </c>
      <c r="U165" s="150"/>
      <c r="V165" s="151"/>
      <c r="W165" s="151"/>
      <c r="X165" s="151"/>
    </row>
    <row r="166" spans="1:24" s="3" customFormat="1" ht="11.25" customHeight="1">
      <c r="A166" s="78" t="s">
        <v>67</v>
      </c>
      <c r="B166" s="221" t="s">
        <v>46</v>
      </c>
      <c r="C166" s="222"/>
      <c r="D166" s="70">
        <v>40</v>
      </c>
      <c r="E166" s="148">
        <v>2.04</v>
      </c>
      <c r="F166" s="72">
        <f>2.64*D166/40</f>
        <v>2.64</v>
      </c>
      <c r="G166" s="72">
        <f>0.48*D166/40</f>
        <v>0.48</v>
      </c>
      <c r="H166" s="72">
        <f>13.68*D166/40</f>
        <v>13.680000000000001</v>
      </c>
      <c r="I166" s="69">
        <f>F166*4+G166*9+H166*4</f>
        <v>69.60000000000001</v>
      </c>
      <c r="J166" s="68">
        <f>0.08*D166/40</f>
        <v>0.08</v>
      </c>
      <c r="K166" s="72">
        <f>0.04*D166/40</f>
        <v>0.04</v>
      </c>
      <c r="L166" s="70">
        <v>0</v>
      </c>
      <c r="M166" s="70">
        <v>0</v>
      </c>
      <c r="N166" s="72">
        <f>2.4*D166/40</f>
        <v>2.4</v>
      </c>
      <c r="O166" s="72">
        <f>14*D166/40</f>
        <v>14</v>
      </c>
      <c r="P166" s="72">
        <f>63.2*D166/40</f>
        <v>63.2</v>
      </c>
      <c r="Q166" s="72">
        <f>1.2*D166/40</f>
        <v>1.2</v>
      </c>
      <c r="R166" s="73">
        <f>0.001*D166/40</f>
        <v>0.001</v>
      </c>
      <c r="S166" s="72">
        <f>9.4*D166/40</f>
        <v>9.4</v>
      </c>
      <c r="T166" s="68">
        <f>0.78*D166/40</f>
        <v>0.78</v>
      </c>
      <c r="U166" s="30"/>
      <c r="V166" s="31"/>
      <c r="W166" s="31"/>
      <c r="X166" s="31"/>
    </row>
    <row r="167" spans="1:24" s="3" customFormat="1" ht="11.25" customHeight="1">
      <c r="A167" s="77" t="s">
        <v>67</v>
      </c>
      <c r="B167" s="221" t="s">
        <v>53</v>
      </c>
      <c r="C167" s="222"/>
      <c r="D167" s="70">
        <v>40</v>
      </c>
      <c r="E167" s="148">
        <v>3.1</v>
      </c>
      <c r="F167" s="72">
        <f>1.52*D167/30</f>
        <v>2.0266666666666664</v>
      </c>
      <c r="G167" s="73">
        <f>0.16*D167/30</f>
        <v>0.21333333333333335</v>
      </c>
      <c r="H167" s="73">
        <f>9.84*D167/30</f>
        <v>13.120000000000001</v>
      </c>
      <c r="I167" s="73">
        <f>F167*4+G167*9+H167*4</f>
        <v>62.50666666666667</v>
      </c>
      <c r="J167" s="73">
        <f>0.02*D167/30</f>
        <v>0.02666666666666667</v>
      </c>
      <c r="K167" s="73">
        <f>0.01*D167/30</f>
        <v>0.013333333333333334</v>
      </c>
      <c r="L167" s="73">
        <f>0.44*D167/30</f>
        <v>0.5866666666666667</v>
      </c>
      <c r="M167" s="73">
        <v>0</v>
      </c>
      <c r="N167" s="73">
        <f>0.7*D167/30</f>
        <v>0.9333333333333333</v>
      </c>
      <c r="O167" s="73">
        <f>4*D167/30</f>
        <v>5.333333333333333</v>
      </c>
      <c r="P167" s="73">
        <f>13*D167/30</f>
        <v>17.333333333333332</v>
      </c>
      <c r="Q167" s="73">
        <f>0.008*D167/30</f>
        <v>0.010666666666666666</v>
      </c>
      <c r="R167" s="73">
        <f>0.001*D167/30</f>
        <v>0.0013333333333333333</v>
      </c>
      <c r="S167" s="73">
        <v>0</v>
      </c>
      <c r="T167" s="73">
        <f>0.22*D167/30</f>
        <v>0.29333333333333333</v>
      </c>
      <c r="U167" s="74"/>
      <c r="V167" s="75"/>
      <c r="W167" s="75"/>
      <c r="X167" s="75"/>
    </row>
    <row r="168" spans="1:24" s="3" customFormat="1" ht="11.25" customHeight="1">
      <c r="A168" s="61" t="s">
        <v>29</v>
      </c>
      <c r="B168" s="62"/>
      <c r="C168" s="62"/>
      <c r="D168" s="65">
        <f aca="true" t="shared" si="43" ref="D168:I168">SUM(D161:D167)</f>
        <v>880</v>
      </c>
      <c r="E168" s="154">
        <f t="shared" si="43"/>
        <v>90</v>
      </c>
      <c r="F168" s="39">
        <f t="shared" si="43"/>
        <v>54.727333333333334</v>
      </c>
      <c r="G168" s="38">
        <f t="shared" si="43"/>
        <v>41.53133333333333</v>
      </c>
      <c r="H168" s="38">
        <f t="shared" si="43"/>
        <v>110.89066666666668</v>
      </c>
      <c r="I168" s="38">
        <f t="shared" si="43"/>
        <v>1036.7740000000001</v>
      </c>
      <c r="J168" s="39">
        <f aca="true" t="shared" si="44" ref="J168:T168">SUM(J161:J167)</f>
        <v>0.3776666666666667</v>
      </c>
      <c r="K168" s="39">
        <f t="shared" si="44"/>
        <v>0.09933333333333333</v>
      </c>
      <c r="L168" s="38">
        <f t="shared" si="44"/>
        <v>15.241666666666665</v>
      </c>
      <c r="M168" s="39">
        <f t="shared" si="44"/>
        <v>95.66300000000001</v>
      </c>
      <c r="N168" s="40">
        <f t="shared" si="44"/>
        <v>6.623333333333333</v>
      </c>
      <c r="O168" s="39">
        <f t="shared" si="44"/>
        <v>199.46733333333333</v>
      </c>
      <c r="P168" s="38">
        <f t="shared" si="44"/>
        <v>710.5893333333333</v>
      </c>
      <c r="Q168" s="38">
        <f t="shared" si="44"/>
        <v>2.4195466666666667</v>
      </c>
      <c r="R168" s="39">
        <f t="shared" si="44"/>
        <v>0.005953333333333333</v>
      </c>
      <c r="S168" s="38">
        <f t="shared" si="44"/>
        <v>226.06</v>
      </c>
      <c r="T168" s="39">
        <f t="shared" si="44"/>
        <v>9.963333333333333</v>
      </c>
      <c r="U168" s="38"/>
      <c r="V168" s="41"/>
      <c r="W168" s="41"/>
      <c r="X168" s="41"/>
    </row>
    <row r="169" spans="1:24" s="3" customFormat="1" ht="11.25" customHeight="1">
      <c r="A169" s="229" t="s">
        <v>63</v>
      </c>
      <c r="B169" s="230"/>
      <c r="C169" s="230"/>
      <c r="D169" s="231"/>
      <c r="E169" s="115"/>
      <c r="F169" s="106">
        <f>F168/F177</f>
        <v>0.6080814814814814</v>
      </c>
      <c r="G169" s="76">
        <f aca="true" t="shared" si="45" ref="G169:T169">G168/G177</f>
        <v>0.45142753623188403</v>
      </c>
      <c r="H169" s="76">
        <f t="shared" si="45"/>
        <v>0.2895317667536989</v>
      </c>
      <c r="I169" s="76">
        <f t="shared" si="45"/>
        <v>0.3811669117647059</v>
      </c>
      <c r="J169" s="76">
        <f t="shared" si="45"/>
        <v>0.2697619047619048</v>
      </c>
      <c r="K169" s="76">
        <f t="shared" si="45"/>
        <v>0.06208333333333333</v>
      </c>
      <c r="L169" s="76">
        <f t="shared" si="45"/>
        <v>0.21773809523809523</v>
      </c>
      <c r="M169" s="76">
        <f t="shared" si="45"/>
        <v>106.29222222222224</v>
      </c>
      <c r="N169" s="76">
        <f t="shared" si="45"/>
        <v>0.5519444444444445</v>
      </c>
      <c r="O169" s="76">
        <f t="shared" si="45"/>
        <v>0.16622277777777777</v>
      </c>
      <c r="P169" s="76">
        <f t="shared" si="45"/>
        <v>0.5921577777777778</v>
      </c>
      <c r="Q169" s="76">
        <f t="shared" si="45"/>
        <v>0.1728247619047619</v>
      </c>
      <c r="R169" s="76">
        <f t="shared" si="45"/>
        <v>0.05953333333333333</v>
      </c>
      <c r="S169" s="76">
        <f t="shared" si="45"/>
        <v>0.7535333333333334</v>
      </c>
      <c r="T169" s="44">
        <f t="shared" si="45"/>
        <v>0.5535185185185185</v>
      </c>
      <c r="U169" s="48"/>
      <c r="V169" s="41"/>
      <c r="W169" s="41"/>
      <c r="X169" s="41"/>
    </row>
    <row r="170" spans="1:24" s="140" customFormat="1" ht="11.25" customHeight="1" hidden="1">
      <c r="A170" s="158"/>
      <c r="B170" s="159"/>
      <c r="C170" s="159"/>
      <c r="D170" s="159"/>
      <c r="E170" s="171">
        <f>90-E168</f>
        <v>0</v>
      </c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69"/>
      <c r="U170" s="144"/>
      <c r="V170" s="142"/>
      <c r="W170" s="142"/>
      <c r="X170" s="142"/>
    </row>
    <row r="171" spans="1:24" s="3" customFormat="1" ht="11.25" customHeight="1">
      <c r="A171" s="232" t="s">
        <v>30</v>
      </c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4"/>
      <c r="U171" s="11"/>
      <c r="V171" s="24"/>
      <c r="W171" s="24"/>
      <c r="X171" s="24"/>
    </row>
    <row r="172" spans="1:20" s="129" customFormat="1" ht="12" customHeight="1">
      <c r="A172" s="135">
        <v>403</v>
      </c>
      <c r="B172" s="263" t="s">
        <v>69</v>
      </c>
      <c r="C172" s="263"/>
      <c r="D172" s="131">
        <v>100</v>
      </c>
      <c r="E172" s="130">
        <v>26.39</v>
      </c>
      <c r="F172" s="130">
        <f>10.7*D172/165</f>
        <v>6.484848484848484</v>
      </c>
      <c r="G172" s="203">
        <f>11.23*D172/165</f>
        <v>6.806060606060606</v>
      </c>
      <c r="H172" s="203">
        <f>68.44*D172/165</f>
        <v>41.47878787878788</v>
      </c>
      <c r="I172" s="130">
        <f>F172*4+G172*9+H172*4</f>
        <v>253.1090909090909</v>
      </c>
      <c r="J172" s="130">
        <v>0.138</v>
      </c>
      <c r="K172" s="130">
        <v>0.15</v>
      </c>
      <c r="L172" s="130">
        <f>1.61*D172/165</f>
        <v>0.9757575757575757</v>
      </c>
      <c r="M172" s="202">
        <v>0.075</v>
      </c>
      <c r="N172" s="203">
        <v>1.5</v>
      </c>
      <c r="O172" s="130">
        <f>119*D172/165</f>
        <v>72.12121212121212</v>
      </c>
      <c r="P172" s="130">
        <v>87.25</v>
      </c>
      <c r="Q172" s="130">
        <v>2.125</v>
      </c>
      <c r="R172" s="201">
        <v>0.013</v>
      </c>
      <c r="S172" s="130">
        <f>47.7*D172/165</f>
        <v>28.90909090909091</v>
      </c>
      <c r="T172" s="130">
        <f>2.3*D172/165</f>
        <v>1.3939393939393938</v>
      </c>
    </row>
    <row r="173" spans="1:20" s="129" customFormat="1" ht="12" customHeight="1">
      <c r="A173" s="205">
        <v>377</v>
      </c>
      <c r="B173" s="223" t="s">
        <v>45</v>
      </c>
      <c r="C173" s="223"/>
      <c r="D173" s="206">
        <v>200</v>
      </c>
      <c r="E173" s="136">
        <v>3.61</v>
      </c>
      <c r="F173" s="128">
        <v>0.26</v>
      </c>
      <c r="G173" s="128">
        <v>0.06</v>
      </c>
      <c r="H173" s="128">
        <v>15.22</v>
      </c>
      <c r="I173" s="128">
        <v>62.46</v>
      </c>
      <c r="J173" s="128">
        <v>0</v>
      </c>
      <c r="K173" s="128">
        <v>0.01</v>
      </c>
      <c r="L173" s="128">
        <v>2.9</v>
      </c>
      <c r="M173" s="128">
        <v>0</v>
      </c>
      <c r="N173" s="128">
        <v>0.06</v>
      </c>
      <c r="O173" s="128">
        <v>8.05</v>
      </c>
      <c r="P173" s="128">
        <v>9.78</v>
      </c>
      <c r="Q173" s="128">
        <v>0.017</v>
      </c>
      <c r="R173" s="128">
        <v>0</v>
      </c>
      <c r="S173" s="128">
        <v>5.24</v>
      </c>
      <c r="T173" s="128">
        <v>0.87</v>
      </c>
    </row>
    <row r="174" spans="1:24" s="1" customFormat="1" ht="11.25" customHeight="1">
      <c r="A174" s="61" t="s">
        <v>31</v>
      </c>
      <c r="B174" s="62"/>
      <c r="C174" s="62"/>
      <c r="D174" s="65">
        <f aca="true" t="shared" si="46" ref="D174:I174">SUM(D172:D173)</f>
        <v>300</v>
      </c>
      <c r="E174" s="154">
        <f t="shared" si="46"/>
        <v>30</v>
      </c>
      <c r="F174" s="39">
        <f t="shared" si="46"/>
        <v>6.744848484848484</v>
      </c>
      <c r="G174" s="38">
        <f t="shared" si="46"/>
        <v>6.866060606060605</v>
      </c>
      <c r="H174" s="38">
        <f t="shared" si="46"/>
        <v>56.698787878787876</v>
      </c>
      <c r="I174" s="38">
        <f t="shared" si="46"/>
        <v>315.5690909090909</v>
      </c>
      <c r="J174" s="39">
        <f aca="true" t="shared" si="47" ref="J174:T174">SUM(J172:J173)</f>
        <v>0.138</v>
      </c>
      <c r="K174" s="39">
        <f t="shared" si="47"/>
        <v>0.16</v>
      </c>
      <c r="L174" s="39">
        <f t="shared" si="47"/>
        <v>3.8757575757575755</v>
      </c>
      <c r="M174" s="39">
        <f t="shared" si="47"/>
        <v>0.075</v>
      </c>
      <c r="N174" s="40">
        <f t="shared" si="47"/>
        <v>1.56</v>
      </c>
      <c r="O174" s="39">
        <f t="shared" si="47"/>
        <v>80.17121212121212</v>
      </c>
      <c r="P174" s="39">
        <f t="shared" si="47"/>
        <v>97.03</v>
      </c>
      <c r="Q174" s="39">
        <f t="shared" si="47"/>
        <v>2.142</v>
      </c>
      <c r="R174" s="39">
        <f t="shared" si="47"/>
        <v>0.013</v>
      </c>
      <c r="S174" s="39">
        <f t="shared" si="47"/>
        <v>34.14909090909091</v>
      </c>
      <c r="T174" s="39">
        <f t="shared" si="47"/>
        <v>2.2639393939393937</v>
      </c>
      <c r="U174" s="38"/>
      <c r="V174" s="41"/>
      <c r="W174" s="41"/>
      <c r="X174" s="41"/>
    </row>
    <row r="175" spans="1:24" s="1" customFormat="1" ht="11.25" customHeight="1">
      <c r="A175" s="229" t="s">
        <v>63</v>
      </c>
      <c r="B175" s="230"/>
      <c r="C175" s="230"/>
      <c r="D175" s="231"/>
      <c r="E175" s="116"/>
      <c r="F175" s="39">
        <f>F174/F177</f>
        <v>0.07494276094276094</v>
      </c>
      <c r="G175" s="44">
        <f aca="true" t="shared" si="48" ref="G175:T175">G174/G177</f>
        <v>0.07463109354413701</v>
      </c>
      <c r="H175" s="44">
        <f t="shared" si="48"/>
        <v>0.14803861064957669</v>
      </c>
      <c r="I175" s="44">
        <f t="shared" si="48"/>
        <v>0.11601804812834224</v>
      </c>
      <c r="J175" s="44">
        <f t="shared" si="48"/>
        <v>0.09857142857142859</v>
      </c>
      <c r="K175" s="44">
        <f t="shared" si="48"/>
        <v>0.09999999999999999</v>
      </c>
      <c r="L175" s="44">
        <f t="shared" si="48"/>
        <v>0.055367965367965365</v>
      </c>
      <c r="M175" s="44">
        <f t="shared" si="48"/>
        <v>0.08333333333333333</v>
      </c>
      <c r="N175" s="44">
        <f t="shared" si="48"/>
        <v>0.13</v>
      </c>
      <c r="O175" s="44">
        <f t="shared" si="48"/>
        <v>0.06680934343434343</v>
      </c>
      <c r="P175" s="44">
        <f t="shared" si="48"/>
        <v>0.08085833333333334</v>
      </c>
      <c r="Q175" s="44">
        <f t="shared" si="48"/>
        <v>0.153</v>
      </c>
      <c r="R175" s="44">
        <f t="shared" si="48"/>
        <v>0.12999999999999998</v>
      </c>
      <c r="S175" s="44">
        <f t="shared" si="48"/>
        <v>0.11383030303030303</v>
      </c>
      <c r="T175" s="44">
        <f t="shared" si="48"/>
        <v>0.12577441077441076</v>
      </c>
      <c r="U175" s="48"/>
      <c r="V175" s="41"/>
      <c r="W175" s="41"/>
      <c r="X175" s="41"/>
    </row>
    <row r="176" spans="1:24" s="1" customFormat="1" ht="11.25" customHeight="1">
      <c r="A176" s="259" t="s">
        <v>62</v>
      </c>
      <c r="B176" s="260"/>
      <c r="C176" s="260"/>
      <c r="D176" s="261"/>
      <c r="E176" s="120"/>
      <c r="F176" s="39">
        <f aca="true" t="shared" si="49" ref="F176:T176">SUM(F157,F168,F174)</f>
        <v>81.01634848484849</v>
      </c>
      <c r="G176" s="38">
        <f t="shared" si="49"/>
        <v>70.11322727272726</v>
      </c>
      <c r="H176" s="38">
        <f t="shared" si="49"/>
        <v>209.52945454545454</v>
      </c>
      <c r="I176" s="38">
        <f t="shared" si="49"/>
        <v>1793.7222575757576</v>
      </c>
      <c r="J176" s="39">
        <f t="shared" si="49"/>
        <v>0.6780833333333334</v>
      </c>
      <c r="K176" s="39">
        <f t="shared" si="49"/>
        <v>0.5651666666666667</v>
      </c>
      <c r="L176" s="38">
        <f t="shared" si="49"/>
        <v>32.98709090909091</v>
      </c>
      <c r="M176" s="39">
        <f t="shared" si="49"/>
        <v>95.83100000000002</v>
      </c>
      <c r="N176" s="39">
        <f t="shared" si="49"/>
        <v>10.931666666666667</v>
      </c>
      <c r="O176" s="38">
        <f t="shared" si="49"/>
        <v>583.5568787878788</v>
      </c>
      <c r="P176" s="38">
        <f t="shared" si="49"/>
        <v>1132.1076666666665</v>
      </c>
      <c r="Q176" s="39">
        <f t="shared" si="49"/>
        <v>6.431713333333333</v>
      </c>
      <c r="R176" s="40">
        <f t="shared" si="49"/>
        <v>0.08478666666666668</v>
      </c>
      <c r="S176" s="39">
        <f t="shared" si="49"/>
        <v>297.61159090909086</v>
      </c>
      <c r="T176" s="39">
        <f t="shared" si="49"/>
        <v>16.98310606060606</v>
      </c>
      <c r="U176" s="42"/>
      <c r="V176" s="41"/>
      <c r="W176" s="41"/>
      <c r="X176" s="41"/>
    </row>
    <row r="177" spans="1:24" s="1" customFormat="1" ht="11.25" customHeight="1">
      <c r="A177" s="259" t="s">
        <v>64</v>
      </c>
      <c r="B177" s="260"/>
      <c r="C177" s="260"/>
      <c r="D177" s="261"/>
      <c r="E177" s="120"/>
      <c r="F177" s="72">
        <v>90</v>
      </c>
      <c r="G177" s="69">
        <v>92</v>
      </c>
      <c r="H177" s="69">
        <v>383</v>
      </c>
      <c r="I177" s="69">
        <v>2720</v>
      </c>
      <c r="J177" s="72">
        <v>1.4</v>
      </c>
      <c r="K177" s="72">
        <v>1.6</v>
      </c>
      <c r="L177" s="70">
        <v>70</v>
      </c>
      <c r="M177" s="72">
        <v>0.9</v>
      </c>
      <c r="N177" s="70">
        <v>12</v>
      </c>
      <c r="O177" s="70">
        <v>1200</v>
      </c>
      <c r="P177" s="70">
        <v>1200</v>
      </c>
      <c r="Q177" s="70">
        <v>14</v>
      </c>
      <c r="R177" s="69">
        <v>0.1</v>
      </c>
      <c r="S177" s="70">
        <v>300</v>
      </c>
      <c r="T177" s="72">
        <v>18</v>
      </c>
      <c r="U177" s="74"/>
      <c r="V177" s="75"/>
      <c r="W177" s="75"/>
      <c r="X177" s="75"/>
    </row>
    <row r="178" spans="1:24" s="1" customFormat="1" ht="11.25" customHeight="1">
      <c r="A178" s="229" t="s">
        <v>63</v>
      </c>
      <c r="B178" s="230"/>
      <c r="C178" s="230"/>
      <c r="D178" s="231"/>
      <c r="E178" s="116"/>
      <c r="F178" s="76">
        <f aca="true" t="shared" si="50" ref="F178:T178">F176/F177</f>
        <v>0.9001816498316499</v>
      </c>
      <c r="G178" s="44">
        <f t="shared" si="50"/>
        <v>0.7621002964426876</v>
      </c>
      <c r="H178" s="44">
        <f t="shared" si="50"/>
        <v>0.5470742938523617</v>
      </c>
      <c r="I178" s="44">
        <f t="shared" si="50"/>
        <v>0.6594567123440285</v>
      </c>
      <c r="J178" s="44">
        <f t="shared" si="50"/>
        <v>0.48434523809523816</v>
      </c>
      <c r="K178" s="44">
        <f t="shared" si="50"/>
        <v>0.35322916666666665</v>
      </c>
      <c r="L178" s="44">
        <f t="shared" si="50"/>
        <v>0.47124415584415585</v>
      </c>
      <c r="M178" s="45">
        <f t="shared" si="50"/>
        <v>106.4788888888889</v>
      </c>
      <c r="N178" s="44">
        <f t="shared" si="50"/>
        <v>0.9109722222222222</v>
      </c>
      <c r="O178" s="44">
        <f t="shared" si="50"/>
        <v>0.486297398989899</v>
      </c>
      <c r="P178" s="44">
        <f t="shared" si="50"/>
        <v>0.9434230555555555</v>
      </c>
      <c r="Q178" s="44">
        <f t="shared" si="50"/>
        <v>0.45940809523809517</v>
      </c>
      <c r="R178" s="45">
        <f t="shared" si="50"/>
        <v>0.8478666666666668</v>
      </c>
      <c r="S178" s="44">
        <f t="shared" si="50"/>
        <v>0.9920386363636362</v>
      </c>
      <c r="T178" s="45">
        <f t="shared" si="50"/>
        <v>0.9435058922558923</v>
      </c>
      <c r="U178" s="46"/>
      <c r="V178" s="47"/>
      <c r="W178" s="47"/>
      <c r="X178" s="47"/>
    </row>
    <row r="179" spans="1:24" s="1" customFormat="1" ht="11.25" customHeight="1">
      <c r="A179" s="57"/>
      <c r="B179" s="54"/>
      <c r="C179" s="54"/>
      <c r="D179" s="71"/>
      <c r="E179" s="71"/>
      <c r="F179" s="34"/>
      <c r="G179" s="71"/>
      <c r="H179" s="71"/>
      <c r="I179" s="71"/>
      <c r="J179" s="71"/>
      <c r="K179" s="71"/>
      <c r="L179" s="71"/>
      <c r="M179" s="269" t="s">
        <v>66</v>
      </c>
      <c r="N179" s="269"/>
      <c r="O179" s="269"/>
      <c r="P179" s="269"/>
      <c r="Q179" s="269"/>
      <c r="R179" s="269"/>
      <c r="S179" s="269"/>
      <c r="T179" s="269"/>
      <c r="U179" s="12"/>
      <c r="V179" s="19"/>
      <c r="W179" s="19"/>
      <c r="X179" s="19"/>
    </row>
    <row r="180" spans="1:24" s="3" customFormat="1" ht="11.25" customHeight="1">
      <c r="A180" s="262" t="s">
        <v>40</v>
      </c>
      <c r="B180" s="262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13"/>
      <c r="V180" s="25"/>
      <c r="W180" s="25"/>
      <c r="X180" s="25"/>
    </row>
    <row r="181" spans="1:24" s="3" customFormat="1" ht="11.25" customHeight="1">
      <c r="A181" s="58" t="s">
        <v>55</v>
      </c>
      <c r="B181" s="54"/>
      <c r="C181" s="54"/>
      <c r="D181" s="2"/>
      <c r="E181" s="2"/>
      <c r="F181" s="34"/>
      <c r="G181" s="240" t="s">
        <v>1</v>
      </c>
      <c r="H181" s="240"/>
      <c r="I181" s="240"/>
      <c r="J181" s="71"/>
      <c r="K181" s="71"/>
      <c r="L181" s="247" t="s">
        <v>2</v>
      </c>
      <c r="M181" s="247"/>
      <c r="N181" s="256"/>
      <c r="O181" s="256"/>
      <c r="P181" s="256"/>
      <c r="Q181" s="256"/>
      <c r="R181" s="71"/>
      <c r="S181" s="71"/>
      <c r="T181" s="71"/>
      <c r="U181" s="14"/>
      <c r="V181" s="20"/>
      <c r="W181" s="20"/>
      <c r="X181" s="20"/>
    </row>
    <row r="182" spans="1:24" s="3" customFormat="1" ht="11.25" customHeight="1">
      <c r="A182" s="54"/>
      <c r="B182" s="54"/>
      <c r="C182" s="54"/>
      <c r="D182" s="235" t="s">
        <v>3</v>
      </c>
      <c r="E182" s="235"/>
      <c r="F182" s="235"/>
      <c r="G182" s="7">
        <v>2</v>
      </c>
      <c r="H182" s="71"/>
      <c r="I182" s="2"/>
      <c r="J182" s="2"/>
      <c r="K182" s="2"/>
      <c r="L182" s="235" t="s">
        <v>4</v>
      </c>
      <c r="M182" s="235"/>
      <c r="N182" s="239" t="s">
        <v>57</v>
      </c>
      <c r="O182" s="239"/>
      <c r="P182" s="239"/>
      <c r="Q182" s="239"/>
      <c r="R182" s="239"/>
      <c r="S182" s="239"/>
      <c r="T182" s="239"/>
      <c r="U182" s="15"/>
      <c r="V182" s="21"/>
      <c r="W182" s="21"/>
      <c r="X182" s="21"/>
    </row>
    <row r="183" spans="1:24" s="1" customFormat="1" ht="21.75" customHeight="1">
      <c r="A183" s="241" t="s">
        <v>5</v>
      </c>
      <c r="B183" s="243" t="s">
        <v>6</v>
      </c>
      <c r="C183" s="244"/>
      <c r="D183" s="241" t="s">
        <v>7</v>
      </c>
      <c r="E183" s="183"/>
      <c r="F183" s="248" t="s">
        <v>8</v>
      </c>
      <c r="G183" s="249"/>
      <c r="H183" s="250"/>
      <c r="I183" s="241" t="s">
        <v>9</v>
      </c>
      <c r="J183" s="248" t="s">
        <v>10</v>
      </c>
      <c r="K183" s="249"/>
      <c r="L183" s="249"/>
      <c r="M183" s="249"/>
      <c r="N183" s="250"/>
      <c r="O183" s="248" t="s">
        <v>11</v>
      </c>
      <c r="P183" s="249"/>
      <c r="Q183" s="249"/>
      <c r="R183" s="249"/>
      <c r="S183" s="249"/>
      <c r="T183" s="250"/>
      <c r="U183" s="9"/>
      <c r="V183" s="22"/>
      <c r="W183" s="22"/>
      <c r="X183" s="22"/>
    </row>
    <row r="184" spans="1:24" s="1" customFormat="1" ht="21" customHeight="1">
      <c r="A184" s="242"/>
      <c r="B184" s="245"/>
      <c r="C184" s="246"/>
      <c r="D184" s="242"/>
      <c r="E184" s="176"/>
      <c r="F184" s="100" t="s">
        <v>12</v>
      </c>
      <c r="G184" s="177" t="s">
        <v>13</v>
      </c>
      <c r="H184" s="177" t="s">
        <v>14</v>
      </c>
      <c r="I184" s="242"/>
      <c r="J184" s="177" t="s">
        <v>15</v>
      </c>
      <c r="K184" s="177" t="s">
        <v>58</v>
      </c>
      <c r="L184" s="177" t="s">
        <v>16</v>
      </c>
      <c r="M184" s="177" t="s">
        <v>17</v>
      </c>
      <c r="N184" s="177" t="s">
        <v>18</v>
      </c>
      <c r="O184" s="177" t="s">
        <v>19</v>
      </c>
      <c r="P184" s="177" t="s">
        <v>20</v>
      </c>
      <c r="Q184" s="177" t="s">
        <v>59</v>
      </c>
      <c r="R184" s="177" t="s">
        <v>61</v>
      </c>
      <c r="S184" s="177" t="s">
        <v>21</v>
      </c>
      <c r="T184" s="177" t="s">
        <v>22</v>
      </c>
      <c r="U184" s="9"/>
      <c r="V184" s="22"/>
      <c r="W184" s="22"/>
      <c r="X184" s="22"/>
    </row>
    <row r="185" spans="1:24" s="1" customFormat="1" ht="11.25" customHeight="1">
      <c r="A185" s="182">
        <v>1</v>
      </c>
      <c r="B185" s="257">
        <v>2</v>
      </c>
      <c r="C185" s="258"/>
      <c r="D185" s="37">
        <v>3</v>
      </c>
      <c r="E185" s="37"/>
      <c r="F185" s="101">
        <v>4</v>
      </c>
      <c r="G185" s="37">
        <v>5</v>
      </c>
      <c r="H185" s="37">
        <v>6</v>
      </c>
      <c r="I185" s="37">
        <v>7</v>
      </c>
      <c r="J185" s="37">
        <v>8</v>
      </c>
      <c r="K185" s="37">
        <v>9</v>
      </c>
      <c r="L185" s="37">
        <v>10</v>
      </c>
      <c r="M185" s="37">
        <v>11</v>
      </c>
      <c r="N185" s="37">
        <v>12</v>
      </c>
      <c r="O185" s="37">
        <v>13</v>
      </c>
      <c r="P185" s="37">
        <v>14</v>
      </c>
      <c r="Q185" s="37">
        <v>15</v>
      </c>
      <c r="R185" s="37">
        <v>16</v>
      </c>
      <c r="S185" s="37">
        <v>17</v>
      </c>
      <c r="T185" s="37">
        <v>18</v>
      </c>
      <c r="U185" s="10"/>
      <c r="V185" s="23"/>
      <c r="W185" s="23"/>
      <c r="X185" s="23"/>
    </row>
    <row r="186" spans="1:24" s="1" customFormat="1" ht="11.25" customHeight="1">
      <c r="A186" s="232" t="s">
        <v>23</v>
      </c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4"/>
      <c r="U186" s="11"/>
      <c r="V186" s="24"/>
      <c r="W186" s="24"/>
      <c r="X186" s="24"/>
    </row>
    <row r="187" spans="1:24" s="140" customFormat="1" ht="23.25" customHeight="1">
      <c r="A187" s="67">
        <v>71</v>
      </c>
      <c r="B187" s="221" t="s">
        <v>65</v>
      </c>
      <c r="C187" s="222"/>
      <c r="D187" s="79">
        <v>40</v>
      </c>
      <c r="E187" s="178">
        <v>9.41</v>
      </c>
      <c r="F187" s="178">
        <f>0.5*D187/60</f>
        <v>0.3333333333333333</v>
      </c>
      <c r="G187" s="178">
        <f>0.03*D187/30</f>
        <v>0.04</v>
      </c>
      <c r="H187" s="178">
        <f>1.7*D187/60</f>
        <v>1.1333333333333333</v>
      </c>
      <c r="I187" s="178">
        <f>F187*4+G187*9+H187*4</f>
        <v>6.226666666666667</v>
      </c>
      <c r="J187" s="80">
        <v>0.009</v>
      </c>
      <c r="K187" s="178">
        <v>0.01</v>
      </c>
      <c r="L187" s="81">
        <v>3</v>
      </c>
      <c r="M187" s="80">
        <v>0.003</v>
      </c>
      <c r="N187" s="79">
        <v>0.03</v>
      </c>
      <c r="O187" s="178">
        <v>6.9</v>
      </c>
      <c r="P187" s="178">
        <v>12.6</v>
      </c>
      <c r="Q187" s="80">
        <v>0.064</v>
      </c>
      <c r="R187" s="80">
        <v>0.001</v>
      </c>
      <c r="S187" s="178">
        <v>4.2</v>
      </c>
      <c r="T187" s="178">
        <v>0.18</v>
      </c>
      <c r="U187" s="150"/>
      <c r="V187" s="151"/>
      <c r="W187" s="151"/>
      <c r="X187" s="151"/>
    </row>
    <row r="188" spans="1:24" s="140" customFormat="1" ht="22.5" customHeight="1">
      <c r="A188" s="133">
        <v>591</v>
      </c>
      <c r="B188" s="277" t="s">
        <v>111</v>
      </c>
      <c r="C188" s="278"/>
      <c r="D188" s="134">
        <v>120</v>
      </c>
      <c r="E188" s="128">
        <v>45.68</v>
      </c>
      <c r="F188" s="128">
        <v>5.86</v>
      </c>
      <c r="G188" s="128">
        <v>16.31</v>
      </c>
      <c r="H188" s="128">
        <v>3.07</v>
      </c>
      <c r="I188" s="128">
        <v>182.51</v>
      </c>
      <c r="J188" s="128">
        <v>0.14</v>
      </c>
      <c r="K188" s="128">
        <v>0.05</v>
      </c>
      <c r="L188" s="128">
        <v>0.09</v>
      </c>
      <c r="M188" s="128">
        <v>0</v>
      </c>
      <c r="N188" s="128">
        <v>0</v>
      </c>
      <c r="O188" s="128">
        <v>9.54</v>
      </c>
      <c r="P188" s="128">
        <v>63.38</v>
      </c>
      <c r="Q188" s="128">
        <v>1.12</v>
      </c>
      <c r="R188" s="128">
        <v>2.55</v>
      </c>
      <c r="S188" s="128">
        <v>11.3</v>
      </c>
      <c r="T188" s="128">
        <v>0.75</v>
      </c>
      <c r="U188" s="150"/>
      <c r="V188" s="151"/>
      <c r="W188" s="151"/>
      <c r="X188" s="151"/>
    </row>
    <row r="189" spans="1:24" s="140" customFormat="1" ht="19.5" customHeight="1">
      <c r="A189" s="182">
        <v>304</v>
      </c>
      <c r="B189" s="255" t="s">
        <v>104</v>
      </c>
      <c r="C189" s="255"/>
      <c r="D189" s="147">
        <v>180</v>
      </c>
      <c r="E189" s="148">
        <v>8.2</v>
      </c>
      <c r="F189" s="148">
        <v>4.44</v>
      </c>
      <c r="G189" s="148">
        <v>6.44</v>
      </c>
      <c r="H189" s="148">
        <v>44.01</v>
      </c>
      <c r="I189" s="148">
        <v>251.82</v>
      </c>
      <c r="J189" s="148">
        <v>0.036</v>
      </c>
      <c r="K189" s="145">
        <v>0.024</v>
      </c>
      <c r="L189" s="148">
        <v>0</v>
      </c>
      <c r="M189" s="145">
        <v>0.048</v>
      </c>
      <c r="N189" s="146">
        <v>0</v>
      </c>
      <c r="O189" s="146">
        <v>17.93</v>
      </c>
      <c r="P189" s="147">
        <v>95.25</v>
      </c>
      <c r="Q189" s="152">
        <v>0</v>
      </c>
      <c r="R189" s="146">
        <v>0.001</v>
      </c>
      <c r="S189" s="148">
        <v>33.47</v>
      </c>
      <c r="T189" s="150">
        <v>0.708</v>
      </c>
      <c r="U189" s="151"/>
      <c r="V189" s="151"/>
      <c r="W189" s="151"/>
      <c r="X189" s="151"/>
    </row>
    <row r="190" spans="1:24" s="140" customFormat="1" ht="12.75" customHeight="1">
      <c r="A190" s="182">
        <v>377</v>
      </c>
      <c r="B190" s="255" t="s">
        <v>45</v>
      </c>
      <c r="C190" s="255"/>
      <c r="D190" s="147">
        <v>200</v>
      </c>
      <c r="E190" s="148">
        <v>3.61</v>
      </c>
      <c r="F190" s="148">
        <v>0.26</v>
      </c>
      <c r="G190" s="148">
        <v>0.06</v>
      </c>
      <c r="H190" s="148">
        <v>15.22</v>
      </c>
      <c r="I190" s="148">
        <f>F190*4+G190*9+H190*4</f>
        <v>62.46</v>
      </c>
      <c r="J190" s="148"/>
      <c r="K190" s="148">
        <v>0.01</v>
      </c>
      <c r="L190" s="148">
        <v>2.9</v>
      </c>
      <c r="M190" s="145">
        <v>0</v>
      </c>
      <c r="N190" s="148">
        <v>0.06</v>
      </c>
      <c r="O190" s="148">
        <v>8.05</v>
      </c>
      <c r="P190" s="148">
        <v>9.78</v>
      </c>
      <c r="Q190" s="148">
        <v>0.017</v>
      </c>
      <c r="R190" s="149">
        <v>0</v>
      </c>
      <c r="S190" s="148">
        <v>5.24</v>
      </c>
      <c r="T190" s="148">
        <v>0.87</v>
      </c>
      <c r="U190" s="150"/>
      <c r="V190" s="151"/>
      <c r="W190" s="151"/>
      <c r="X190" s="151"/>
    </row>
    <row r="191" spans="1:24" s="140" customFormat="1" ht="11.25" customHeight="1">
      <c r="A191" s="153" t="s">
        <v>67</v>
      </c>
      <c r="B191" s="221" t="s">
        <v>53</v>
      </c>
      <c r="C191" s="222"/>
      <c r="D191" s="147">
        <v>40</v>
      </c>
      <c r="E191" s="148">
        <v>3.1</v>
      </c>
      <c r="F191" s="148">
        <f>1.52*D191/30</f>
        <v>2.0266666666666664</v>
      </c>
      <c r="G191" s="149">
        <f>0.16*D191/30</f>
        <v>0.21333333333333335</v>
      </c>
      <c r="H191" s="149">
        <f>9.84*D191/30</f>
        <v>13.120000000000001</v>
      </c>
      <c r="I191" s="149">
        <f>F191*4+G191*9+H191*4</f>
        <v>62.50666666666667</v>
      </c>
      <c r="J191" s="149">
        <f>0.02*D191/30</f>
        <v>0.02666666666666667</v>
      </c>
      <c r="K191" s="149">
        <f>0.01*D191/30</f>
        <v>0.013333333333333334</v>
      </c>
      <c r="L191" s="149">
        <f>0.44*D191/30</f>
        <v>0.5866666666666667</v>
      </c>
      <c r="M191" s="149">
        <v>0</v>
      </c>
      <c r="N191" s="149">
        <f>0.7*D191/30</f>
        <v>0.9333333333333333</v>
      </c>
      <c r="O191" s="149">
        <f>4*D191/30</f>
        <v>5.333333333333333</v>
      </c>
      <c r="P191" s="149">
        <f>13*D191/30</f>
        <v>17.333333333333332</v>
      </c>
      <c r="Q191" s="149">
        <f>0.008*D191/30</f>
        <v>0.010666666666666666</v>
      </c>
      <c r="R191" s="149">
        <f>0.001*D191/30</f>
        <v>0.0013333333333333333</v>
      </c>
      <c r="S191" s="149">
        <v>0</v>
      </c>
      <c r="T191" s="149">
        <f>0.22*D191/30</f>
        <v>0.29333333333333333</v>
      </c>
      <c r="U191" s="150"/>
      <c r="V191" s="151"/>
      <c r="W191" s="151"/>
      <c r="X191" s="151"/>
    </row>
    <row r="192" spans="1:24" s="140" customFormat="1" ht="11.25" customHeight="1">
      <c r="A192" s="63" t="str">
        <f>A261</f>
        <v>Итого за Завтрак мясной</v>
      </c>
      <c r="B192" s="64"/>
      <c r="C192" s="64"/>
      <c r="D192" s="65">
        <f aca="true" t="shared" si="51" ref="D192:I192">SUM(D187:D191)</f>
        <v>580</v>
      </c>
      <c r="E192" s="154">
        <f t="shared" si="51"/>
        <v>70</v>
      </c>
      <c r="F192" s="39">
        <f t="shared" si="51"/>
        <v>12.919999999999998</v>
      </c>
      <c r="G192" s="38">
        <f t="shared" si="51"/>
        <v>23.063333333333333</v>
      </c>
      <c r="H192" s="38">
        <f t="shared" si="51"/>
        <v>76.55333333333333</v>
      </c>
      <c r="I192" s="49">
        <f t="shared" si="51"/>
        <v>565.5233333333333</v>
      </c>
      <c r="J192" s="39">
        <f aca="true" t="shared" si="52" ref="J192:T192">SUM(J187:J191)</f>
        <v>0.2116666666666667</v>
      </c>
      <c r="K192" s="39">
        <f t="shared" si="52"/>
        <v>0.10733333333333334</v>
      </c>
      <c r="L192" s="39">
        <f t="shared" si="52"/>
        <v>6.576666666666667</v>
      </c>
      <c r="M192" s="39">
        <f t="shared" si="52"/>
        <v>0.051000000000000004</v>
      </c>
      <c r="N192" s="39">
        <f t="shared" si="52"/>
        <v>1.0233333333333334</v>
      </c>
      <c r="O192" s="39">
        <f t="shared" si="52"/>
        <v>47.75333333333334</v>
      </c>
      <c r="P192" s="39">
        <f t="shared" si="52"/>
        <v>198.34333333333336</v>
      </c>
      <c r="Q192" s="39">
        <f t="shared" si="52"/>
        <v>1.2116666666666667</v>
      </c>
      <c r="R192" s="40">
        <f t="shared" si="52"/>
        <v>2.553333333333333</v>
      </c>
      <c r="S192" s="39">
        <f t="shared" si="52"/>
        <v>54.21</v>
      </c>
      <c r="T192" s="39">
        <f t="shared" si="52"/>
        <v>2.8013333333333335</v>
      </c>
      <c r="U192" s="38"/>
      <c r="V192" s="142"/>
      <c r="W192" s="142"/>
      <c r="X192" s="142"/>
    </row>
    <row r="193" spans="1:24" s="140" customFormat="1" ht="11.25" customHeight="1">
      <c r="A193" s="229" t="s">
        <v>63</v>
      </c>
      <c r="B193" s="230"/>
      <c r="C193" s="230"/>
      <c r="D193" s="231"/>
      <c r="E193" s="180"/>
      <c r="F193" s="155">
        <f aca="true" t="shared" si="53" ref="F193:T193">F192/F213</f>
        <v>0.14355555555555555</v>
      </c>
      <c r="G193" s="44">
        <f t="shared" si="53"/>
        <v>0.25068840579710144</v>
      </c>
      <c r="H193" s="44">
        <f t="shared" si="53"/>
        <v>0.1998781549173194</v>
      </c>
      <c r="I193" s="44">
        <f t="shared" si="53"/>
        <v>0.20791299019607842</v>
      </c>
      <c r="J193" s="44">
        <f t="shared" si="53"/>
        <v>0.1511904761904762</v>
      </c>
      <c r="K193" s="44">
        <f t="shared" si="53"/>
        <v>0.06708333333333333</v>
      </c>
      <c r="L193" s="44">
        <f t="shared" si="53"/>
        <v>0.09395238095238095</v>
      </c>
      <c r="M193" s="44">
        <f t="shared" si="53"/>
        <v>0.05666666666666667</v>
      </c>
      <c r="N193" s="44">
        <f t="shared" si="53"/>
        <v>0.08527777777777779</v>
      </c>
      <c r="O193" s="44">
        <f t="shared" si="53"/>
        <v>0.039794444444444445</v>
      </c>
      <c r="P193" s="44">
        <f t="shared" si="53"/>
        <v>0.16528611111111113</v>
      </c>
      <c r="Q193" s="44">
        <f t="shared" si="53"/>
        <v>0.08654761904761905</v>
      </c>
      <c r="R193" s="44">
        <f t="shared" si="53"/>
        <v>25.533333333333328</v>
      </c>
      <c r="S193" s="44">
        <f t="shared" si="53"/>
        <v>0.1807</v>
      </c>
      <c r="T193" s="44">
        <f t="shared" si="53"/>
        <v>0.15562962962962965</v>
      </c>
      <c r="U193" s="144"/>
      <c r="V193" s="142"/>
      <c r="W193" s="142"/>
      <c r="X193" s="142"/>
    </row>
    <row r="194" spans="1:24" s="140" customFormat="1" ht="11.25" customHeight="1" hidden="1">
      <c r="A194" s="179"/>
      <c r="B194" s="180"/>
      <c r="C194" s="180"/>
      <c r="D194" s="180"/>
      <c r="E194" s="171">
        <f>70-E192</f>
        <v>0</v>
      </c>
      <c r="F194" s="155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9"/>
      <c r="U194" s="144"/>
      <c r="V194" s="142"/>
      <c r="W194" s="142"/>
      <c r="X194" s="142"/>
    </row>
    <row r="195" spans="1:20" s="129" customFormat="1" ht="11.25" customHeight="1">
      <c r="A195" s="207" t="s">
        <v>67</v>
      </c>
      <c r="B195" s="291" t="s">
        <v>123</v>
      </c>
      <c r="C195" s="291"/>
      <c r="D195" s="208">
        <v>200</v>
      </c>
      <c r="E195" s="213"/>
      <c r="F195" s="210">
        <v>5.6</v>
      </c>
      <c r="G195" s="210">
        <v>6.4</v>
      </c>
      <c r="H195" s="210">
        <v>9.4</v>
      </c>
      <c r="I195" s="210">
        <v>117.6</v>
      </c>
      <c r="J195" s="210">
        <v>0.08</v>
      </c>
      <c r="K195" s="210">
        <v>0.307</v>
      </c>
      <c r="L195" s="210">
        <v>2.6</v>
      </c>
      <c r="M195" s="210">
        <v>0.067</v>
      </c>
      <c r="N195" s="210">
        <v>0.292</v>
      </c>
      <c r="O195" s="210">
        <v>240</v>
      </c>
      <c r="P195" s="210">
        <v>180</v>
      </c>
      <c r="Q195" s="210">
        <v>0.8</v>
      </c>
      <c r="R195" s="210">
        <v>0.018</v>
      </c>
      <c r="S195" s="210">
        <v>28</v>
      </c>
      <c r="T195" s="210">
        <v>0.12</v>
      </c>
    </row>
    <row r="196" spans="1:24" s="140" customFormat="1" ht="11.25" customHeight="1">
      <c r="A196" s="236" t="str">
        <f>A230</f>
        <v>Обед (полноценный рацион питания)</v>
      </c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8"/>
      <c r="U196" s="11"/>
      <c r="V196" s="24"/>
      <c r="W196" s="24"/>
      <c r="X196" s="24"/>
    </row>
    <row r="197" spans="1:24" s="140" customFormat="1" ht="21" customHeight="1">
      <c r="A197" s="215">
        <v>45</v>
      </c>
      <c r="B197" s="255" t="s">
        <v>89</v>
      </c>
      <c r="C197" s="255"/>
      <c r="D197" s="147">
        <v>100</v>
      </c>
      <c r="E197" s="148">
        <v>8.44</v>
      </c>
      <c r="F197" s="148">
        <f>0.9*D197/60</f>
        <v>1.5</v>
      </c>
      <c r="G197" s="148">
        <f>1.31*D197/60</f>
        <v>2.183333333333333</v>
      </c>
      <c r="H197" s="148">
        <f>5.6*D197/60</f>
        <v>9.333333333333334</v>
      </c>
      <c r="I197" s="148">
        <f>F197*4+G197*9+H197*4</f>
        <v>62.983333333333334</v>
      </c>
      <c r="J197" s="148">
        <f>0.06*D197/60</f>
        <v>0.1</v>
      </c>
      <c r="K197" s="148">
        <f>0.07*D197/60</f>
        <v>0.11666666666666668</v>
      </c>
      <c r="L197" s="148">
        <f>15.5*D197/60</f>
        <v>25.833333333333332</v>
      </c>
      <c r="M197" s="149">
        <f>0.071*D197/60</f>
        <v>0.11833333333333333</v>
      </c>
      <c r="N197" s="148">
        <f>0.3*D197/60</f>
        <v>0.5</v>
      </c>
      <c r="O197" s="148">
        <f>28.2*D197/60</f>
        <v>47</v>
      </c>
      <c r="P197" s="148">
        <f>18.9*D197/60</f>
        <v>31.499999999999996</v>
      </c>
      <c r="Q197" s="148">
        <f>0.2*D197/60</f>
        <v>0.3333333333333333</v>
      </c>
      <c r="R197" s="149">
        <f>0.001*D197/60</f>
        <v>0.0016666666666666668</v>
      </c>
      <c r="S197" s="148">
        <f>10.5*D197/60</f>
        <v>17.5</v>
      </c>
      <c r="T197" s="148">
        <f>0.6*D197/60</f>
        <v>1</v>
      </c>
      <c r="U197" s="150"/>
      <c r="V197" s="151"/>
      <c r="W197" s="151"/>
      <c r="X197" s="151"/>
    </row>
    <row r="198" spans="1:24" s="140" customFormat="1" ht="11.25">
      <c r="A198" s="153">
        <v>108</v>
      </c>
      <c r="B198" s="221" t="s">
        <v>109</v>
      </c>
      <c r="C198" s="222"/>
      <c r="D198" s="145">
        <v>250</v>
      </c>
      <c r="E198" s="148">
        <v>11.87</v>
      </c>
      <c r="F198" s="148">
        <f>2.52*D198/200</f>
        <v>3.15</v>
      </c>
      <c r="G198" s="149">
        <f>2.84*D198/200</f>
        <v>3.55</v>
      </c>
      <c r="H198" s="149">
        <f>16.67*D198/200</f>
        <v>20.8375</v>
      </c>
      <c r="I198" s="148">
        <f>F198*4+G198*9+H198*4</f>
        <v>127.89999999999999</v>
      </c>
      <c r="J198" s="149">
        <f>0.07*D198/200</f>
        <v>0.0875</v>
      </c>
      <c r="K198" s="149">
        <f>0.06*D198/200</f>
        <v>0.075</v>
      </c>
      <c r="L198" s="149">
        <f>9.05*D198/200</f>
        <v>11.3125</v>
      </c>
      <c r="M198" s="149">
        <v>0.59</v>
      </c>
      <c r="N198" s="149">
        <f>0.7*D198/200</f>
        <v>0.875</v>
      </c>
      <c r="O198" s="149">
        <f>20.59*D198/200</f>
        <v>25.7375</v>
      </c>
      <c r="P198" s="149">
        <f>48.19*D198/200</f>
        <v>60.2375</v>
      </c>
      <c r="Q198" s="149">
        <f>0.2*D198/200</f>
        <v>0.25</v>
      </c>
      <c r="R198" s="149">
        <f>0.001*D198/200</f>
        <v>0.00125</v>
      </c>
      <c r="S198" s="149">
        <f>14.56*D198/200</f>
        <v>18.2</v>
      </c>
      <c r="T198" s="149">
        <f>0.74*D198/200</f>
        <v>0.925</v>
      </c>
      <c r="U198" s="150"/>
      <c r="V198" s="151"/>
      <c r="W198" s="151"/>
      <c r="X198" s="151"/>
    </row>
    <row r="199" spans="1:24" s="140" customFormat="1" ht="13.5" customHeight="1">
      <c r="A199" s="215">
        <v>259</v>
      </c>
      <c r="B199" s="221" t="s">
        <v>51</v>
      </c>
      <c r="C199" s="222"/>
      <c r="D199" s="147">
        <v>240</v>
      </c>
      <c r="E199" s="148">
        <v>52.02</v>
      </c>
      <c r="F199" s="148">
        <f>D199*14.27/200</f>
        <v>17.124</v>
      </c>
      <c r="G199" s="148">
        <f>D199*15.01/200</f>
        <v>18.012</v>
      </c>
      <c r="H199" s="148">
        <f>D199*25.51/200</f>
        <v>30.612000000000002</v>
      </c>
      <c r="I199" s="148">
        <f>F199*4+G199*9+H199*4</f>
        <v>353.052</v>
      </c>
      <c r="J199" s="148">
        <f>D199*0.22/200</f>
        <v>0.264</v>
      </c>
      <c r="K199" s="148">
        <f>D199*0.2/200</f>
        <v>0.24</v>
      </c>
      <c r="L199" s="148">
        <f>D199*31.3/200</f>
        <v>37.56</v>
      </c>
      <c r="M199" s="149">
        <v>0.07</v>
      </c>
      <c r="N199" s="145">
        <v>0.42</v>
      </c>
      <c r="O199" s="148">
        <f>D199*42.2/200</f>
        <v>50.64</v>
      </c>
      <c r="P199" s="146">
        <f>D199*218.18/200</f>
        <v>261.81600000000003</v>
      </c>
      <c r="Q199" s="146">
        <v>4.2</v>
      </c>
      <c r="R199" s="149">
        <v>0.0017</v>
      </c>
      <c r="S199" s="148">
        <f>D199*55.87/200</f>
        <v>67.044</v>
      </c>
      <c r="T199" s="148">
        <f>D199*3.32/200</f>
        <v>3.984</v>
      </c>
      <c r="U199" s="150"/>
      <c r="V199" s="151"/>
      <c r="W199" s="151"/>
      <c r="X199" s="151"/>
    </row>
    <row r="200" spans="1:24" s="140" customFormat="1" ht="11.25">
      <c r="A200" s="133">
        <v>345</v>
      </c>
      <c r="B200" s="275" t="s">
        <v>49</v>
      </c>
      <c r="C200" s="275"/>
      <c r="D200" s="137">
        <v>200</v>
      </c>
      <c r="E200" s="128">
        <v>4.9</v>
      </c>
      <c r="F200" s="128">
        <v>0.06</v>
      </c>
      <c r="G200" s="128">
        <v>0.02</v>
      </c>
      <c r="H200" s="128">
        <v>20.73</v>
      </c>
      <c r="I200" s="128">
        <v>83.34</v>
      </c>
      <c r="J200" s="128">
        <v>0</v>
      </c>
      <c r="K200" s="128">
        <v>0</v>
      </c>
      <c r="L200" s="128">
        <v>2.5</v>
      </c>
      <c r="M200" s="128">
        <v>0.004</v>
      </c>
      <c r="N200" s="128">
        <v>0.2</v>
      </c>
      <c r="O200" s="128">
        <v>4</v>
      </c>
      <c r="P200" s="128">
        <v>3.3</v>
      </c>
      <c r="Q200" s="128">
        <v>0.08</v>
      </c>
      <c r="R200" s="128">
        <v>0.001</v>
      </c>
      <c r="S200" s="128">
        <v>1.7</v>
      </c>
      <c r="T200" s="128">
        <v>0.15</v>
      </c>
      <c r="U200" s="150"/>
      <c r="V200" s="151"/>
      <c r="W200" s="151"/>
      <c r="X200" s="151"/>
    </row>
    <row r="201" spans="1:24" s="140" customFormat="1" ht="11.25" customHeight="1">
      <c r="A201" s="78" t="s">
        <v>67</v>
      </c>
      <c r="B201" s="221" t="s">
        <v>46</v>
      </c>
      <c r="C201" s="222"/>
      <c r="D201" s="147">
        <v>40</v>
      </c>
      <c r="E201" s="148">
        <v>2.04</v>
      </c>
      <c r="F201" s="148">
        <f>2.64*D201/40</f>
        <v>2.64</v>
      </c>
      <c r="G201" s="148">
        <f>0.48*D201/40</f>
        <v>0.48</v>
      </c>
      <c r="H201" s="148">
        <f>13.68*D201/40</f>
        <v>13.680000000000001</v>
      </c>
      <c r="I201" s="146">
        <f>F201*4+G201*9+H201*4</f>
        <v>69.60000000000001</v>
      </c>
      <c r="J201" s="145">
        <f>0.08*D201/40</f>
        <v>0.08</v>
      </c>
      <c r="K201" s="148">
        <f>0.04*D201/40</f>
        <v>0.04</v>
      </c>
      <c r="L201" s="147">
        <v>0</v>
      </c>
      <c r="M201" s="147">
        <v>0</v>
      </c>
      <c r="N201" s="148">
        <f>2.4*D201/40</f>
        <v>2.4</v>
      </c>
      <c r="O201" s="148">
        <f>14*D201/40</f>
        <v>14</v>
      </c>
      <c r="P201" s="148">
        <f>63.2*D201/40</f>
        <v>63.2</v>
      </c>
      <c r="Q201" s="148">
        <f>1.2*D201/40</f>
        <v>1.2</v>
      </c>
      <c r="R201" s="149">
        <f>0.001*D201/40</f>
        <v>0.001</v>
      </c>
      <c r="S201" s="148">
        <f>9.4*D201/40</f>
        <v>9.4</v>
      </c>
      <c r="T201" s="145">
        <f>0.78*D201/40</f>
        <v>0.78</v>
      </c>
      <c r="U201" s="30"/>
      <c r="V201" s="31"/>
      <c r="W201" s="31"/>
      <c r="X201" s="31"/>
    </row>
    <row r="202" spans="1:24" ht="11.25">
      <c r="A202" s="184" t="s">
        <v>67</v>
      </c>
      <c r="B202" s="274" t="s">
        <v>113</v>
      </c>
      <c r="C202" s="252"/>
      <c r="D202" s="184">
        <v>40</v>
      </c>
      <c r="E202" s="185">
        <v>7.63</v>
      </c>
      <c r="F202" s="185">
        <v>0.65</v>
      </c>
      <c r="G202" s="186">
        <v>3.8</v>
      </c>
      <c r="H202" s="187">
        <v>17.6</v>
      </c>
      <c r="I202" s="185">
        <v>38</v>
      </c>
      <c r="J202" s="185">
        <v>0.026</v>
      </c>
      <c r="K202" s="185">
        <v>0.03</v>
      </c>
      <c r="L202" s="185">
        <v>0.13</v>
      </c>
      <c r="M202" s="185">
        <v>11.96</v>
      </c>
      <c r="N202" s="186">
        <v>0.39</v>
      </c>
      <c r="O202" s="185">
        <v>24.18</v>
      </c>
      <c r="P202" s="185">
        <v>49.4</v>
      </c>
      <c r="Q202" s="188">
        <v>0.2</v>
      </c>
      <c r="R202" s="185">
        <v>0.002</v>
      </c>
      <c r="S202" s="185">
        <v>18.72</v>
      </c>
      <c r="T202" s="185">
        <v>0.182</v>
      </c>
      <c r="U202"/>
      <c r="V202"/>
      <c r="W202"/>
      <c r="X202"/>
    </row>
    <row r="203" spans="1:24" s="140" customFormat="1" ht="11.25" customHeight="1">
      <c r="A203" s="153" t="s">
        <v>67</v>
      </c>
      <c r="B203" s="221" t="s">
        <v>53</v>
      </c>
      <c r="C203" s="222"/>
      <c r="D203" s="147">
        <v>40</v>
      </c>
      <c r="E203" s="148">
        <v>3.1</v>
      </c>
      <c r="F203" s="148">
        <f>1.52*D203/30</f>
        <v>2.0266666666666664</v>
      </c>
      <c r="G203" s="149">
        <f>0.16*D203/30</f>
        <v>0.21333333333333335</v>
      </c>
      <c r="H203" s="149">
        <f>9.84*D203/30</f>
        <v>13.120000000000001</v>
      </c>
      <c r="I203" s="149">
        <f>F203*4+G203*9+H203*4</f>
        <v>62.50666666666667</v>
      </c>
      <c r="J203" s="149">
        <f>0.02*D203/30</f>
        <v>0.02666666666666667</v>
      </c>
      <c r="K203" s="149">
        <f>0.01*D203/30</f>
        <v>0.013333333333333334</v>
      </c>
      <c r="L203" s="149">
        <f>0.44*D203/30</f>
        <v>0.5866666666666667</v>
      </c>
      <c r="M203" s="149">
        <v>0</v>
      </c>
      <c r="N203" s="149">
        <f>0.7*D203/30</f>
        <v>0.9333333333333333</v>
      </c>
      <c r="O203" s="149">
        <f>4*D203/30</f>
        <v>5.333333333333333</v>
      </c>
      <c r="P203" s="149">
        <f>13*D203/30</f>
        <v>17.333333333333332</v>
      </c>
      <c r="Q203" s="149">
        <f>0.008*D203/30</f>
        <v>0.010666666666666666</v>
      </c>
      <c r="R203" s="149">
        <f>0.001*D203/30</f>
        <v>0.0013333333333333333</v>
      </c>
      <c r="S203" s="149">
        <v>0</v>
      </c>
      <c r="T203" s="149">
        <f>0.22*D203/30</f>
        <v>0.29333333333333333</v>
      </c>
      <c r="U203" s="150"/>
      <c r="V203" s="151"/>
      <c r="W203" s="151"/>
      <c r="X203" s="151"/>
    </row>
    <row r="204" spans="1:24" s="140" customFormat="1" ht="11.25" customHeight="1">
      <c r="A204" s="61" t="s">
        <v>29</v>
      </c>
      <c r="B204" s="62"/>
      <c r="C204" s="62"/>
      <c r="D204" s="65">
        <f aca="true" t="shared" si="54" ref="D204:T204">SUM(D197:D203)</f>
        <v>910</v>
      </c>
      <c r="E204" s="154">
        <f t="shared" si="54"/>
        <v>90</v>
      </c>
      <c r="F204" s="39">
        <f t="shared" si="54"/>
        <v>27.150666666666666</v>
      </c>
      <c r="G204" s="38">
        <f t="shared" si="54"/>
        <v>28.25866666666667</v>
      </c>
      <c r="H204" s="38">
        <f t="shared" si="54"/>
        <v>125.91283333333334</v>
      </c>
      <c r="I204" s="38">
        <f t="shared" si="54"/>
        <v>797.3820000000001</v>
      </c>
      <c r="J204" s="38">
        <f t="shared" si="54"/>
        <v>0.5841666666666666</v>
      </c>
      <c r="K204" s="38">
        <f t="shared" si="54"/>
        <v>0.5149999999999999</v>
      </c>
      <c r="L204" s="38">
        <f t="shared" si="54"/>
        <v>77.9225</v>
      </c>
      <c r="M204" s="38">
        <f t="shared" si="54"/>
        <v>12.742333333333335</v>
      </c>
      <c r="N204" s="38">
        <f t="shared" si="54"/>
        <v>5.718333333333333</v>
      </c>
      <c r="O204" s="38">
        <f t="shared" si="54"/>
        <v>170.89083333333335</v>
      </c>
      <c r="P204" s="38">
        <f t="shared" si="54"/>
        <v>486.78683333333333</v>
      </c>
      <c r="Q204" s="38">
        <f t="shared" si="54"/>
        <v>6.274</v>
      </c>
      <c r="R204" s="38">
        <f t="shared" si="54"/>
        <v>0.00995</v>
      </c>
      <c r="S204" s="38">
        <f t="shared" si="54"/>
        <v>132.56400000000002</v>
      </c>
      <c r="T204" s="38">
        <f t="shared" si="54"/>
        <v>7.314333333333334</v>
      </c>
      <c r="U204" s="38"/>
      <c r="V204" s="142"/>
      <c r="W204" s="142"/>
      <c r="X204" s="142"/>
    </row>
    <row r="205" spans="1:24" s="140" customFormat="1" ht="11.25" customHeight="1">
      <c r="A205" s="229" t="s">
        <v>63</v>
      </c>
      <c r="B205" s="230"/>
      <c r="C205" s="230"/>
      <c r="D205" s="231"/>
      <c r="E205" s="180"/>
      <c r="F205" s="155">
        <f aca="true" t="shared" si="55" ref="F205:T205">F204/F213</f>
        <v>0.3016740740740741</v>
      </c>
      <c r="G205" s="44">
        <f t="shared" si="55"/>
        <v>0.3071594202898551</v>
      </c>
      <c r="H205" s="44">
        <f t="shared" si="55"/>
        <v>0.32875413402959097</v>
      </c>
      <c r="I205" s="44">
        <f t="shared" si="55"/>
        <v>0.29315514705882356</v>
      </c>
      <c r="J205" s="44">
        <f t="shared" si="55"/>
        <v>0.4172619047619047</v>
      </c>
      <c r="K205" s="44">
        <f t="shared" si="55"/>
        <v>0.3218749999999999</v>
      </c>
      <c r="L205" s="44">
        <f t="shared" si="55"/>
        <v>1.1131785714285714</v>
      </c>
      <c r="M205" s="44">
        <f t="shared" si="55"/>
        <v>14.158148148148149</v>
      </c>
      <c r="N205" s="44">
        <f t="shared" si="55"/>
        <v>0.4765277777777777</v>
      </c>
      <c r="O205" s="44">
        <f t="shared" si="55"/>
        <v>0.14240902777777778</v>
      </c>
      <c r="P205" s="44">
        <f t="shared" si="55"/>
        <v>0.40565569444444444</v>
      </c>
      <c r="Q205" s="44">
        <f t="shared" si="55"/>
        <v>0.4481428571428571</v>
      </c>
      <c r="R205" s="44">
        <f t="shared" si="55"/>
        <v>0.0995</v>
      </c>
      <c r="S205" s="44">
        <f t="shared" si="55"/>
        <v>0.44188000000000005</v>
      </c>
      <c r="T205" s="44">
        <f t="shared" si="55"/>
        <v>0.40635185185185185</v>
      </c>
      <c r="U205" s="144"/>
      <c r="V205" s="142"/>
      <c r="W205" s="142"/>
      <c r="X205" s="142"/>
    </row>
    <row r="206" spans="1:24" s="140" customFormat="1" ht="11.25" customHeight="1" hidden="1">
      <c r="A206" s="179"/>
      <c r="B206" s="180"/>
      <c r="C206" s="180"/>
      <c r="D206" s="180"/>
      <c r="E206" s="171">
        <f>90-E204</f>
        <v>0</v>
      </c>
      <c r="F206" s="155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9"/>
      <c r="U206" s="144"/>
      <c r="V206" s="142"/>
      <c r="W206" s="142"/>
      <c r="X206" s="142"/>
    </row>
    <row r="207" spans="1:24" s="140" customFormat="1" ht="11.25" customHeight="1">
      <c r="A207" s="232" t="s">
        <v>30</v>
      </c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4"/>
      <c r="U207" s="11"/>
      <c r="V207" s="24"/>
      <c r="W207" s="24"/>
      <c r="X207" s="24"/>
    </row>
    <row r="208" spans="1:20" s="129" customFormat="1" ht="11.25" customHeight="1">
      <c r="A208" s="135"/>
      <c r="B208" s="263" t="s">
        <v>126</v>
      </c>
      <c r="C208" s="263"/>
      <c r="D208" s="131">
        <v>60</v>
      </c>
      <c r="E208" s="130">
        <v>26.39</v>
      </c>
      <c r="F208" s="130">
        <v>5.2</v>
      </c>
      <c r="G208" s="130">
        <v>5.82</v>
      </c>
      <c r="H208" s="130">
        <v>37.5</v>
      </c>
      <c r="I208" s="130">
        <f>F208*4+G208*9+H208*4</f>
        <v>223.18</v>
      </c>
      <c r="J208" s="130">
        <v>0.06</v>
      </c>
      <c r="K208" s="130">
        <v>0.02</v>
      </c>
      <c r="L208" s="203">
        <v>0.9</v>
      </c>
      <c r="M208" s="130">
        <v>0.01</v>
      </c>
      <c r="N208" s="202">
        <v>0</v>
      </c>
      <c r="O208" s="203">
        <v>21.42</v>
      </c>
      <c r="P208" s="130">
        <v>113.9</v>
      </c>
      <c r="Q208" s="203">
        <v>1</v>
      </c>
      <c r="R208" s="131">
        <v>0</v>
      </c>
      <c r="S208" s="130">
        <v>21.14</v>
      </c>
      <c r="T208" s="130">
        <v>0.58</v>
      </c>
    </row>
    <row r="209" spans="1:24" s="140" customFormat="1" ht="12.75" customHeight="1">
      <c r="A209" s="198">
        <v>377</v>
      </c>
      <c r="B209" s="255" t="s">
        <v>45</v>
      </c>
      <c r="C209" s="255"/>
      <c r="D209" s="147">
        <v>200</v>
      </c>
      <c r="E209" s="148">
        <v>3.61</v>
      </c>
      <c r="F209" s="148">
        <v>0.26</v>
      </c>
      <c r="G209" s="148">
        <v>0.06</v>
      </c>
      <c r="H209" s="148">
        <v>15.22</v>
      </c>
      <c r="I209" s="148">
        <f>F209*4+G209*9+H209*4</f>
        <v>62.46</v>
      </c>
      <c r="J209" s="148"/>
      <c r="K209" s="148">
        <v>0.01</v>
      </c>
      <c r="L209" s="148">
        <v>2.9</v>
      </c>
      <c r="M209" s="145">
        <v>0</v>
      </c>
      <c r="N209" s="148">
        <v>0.06</v>
      </c>
      <c r="O209" s="148">
        <v>8.05</v>
      </c>
      <c r="P209" s="148">
        <v>9.78</v>
      </c>
      <c r="Q209" s="148">
        <v>0.017</v>
      </c>
      <c r="R209" s="149">
        <v>0</v>
      </c>
      <c r="S209" s="148">
        <v>5.24</v>
      </c>
      <c r="T209" s="148">
        <v>0.87</v>
      </c>
      <c r="U209" s="150"/>
      <c r="V209" s="151"/>
      <c r="W209" s="151"/>
      <c r="X209" s="151"/>
    </row>
    <row r="210" spans="1:24" s="1" customFormat="1" ht="11.25" customHeight="1">
      <c r="A210" s="61" t="s">
        <v>31</v>
      </c>
      <c r="B210" s="62"/>
      <c r="C210" s="62"/>
      <c r="D210" s="65">
        <v>374</v>
      </c>
      <c r="E210" s="212">
        <f>SUM(E208:E209)</f>
        <v>30</v>
      </c>
      <c r="F210" s="39">
        <f>SUM(F208:F209)</f>
        <v>5.46</v>
      </c>
      <c r="G210" s="38">
        <f>SUM(G208:G209)</f>
        <v>5.88</v>
      </c>
      <c r="H210" s="38">
        <f>SUM(H208:H209)</f>
        <v>52.72</v>
      </c>
      <c r="I210" s="38">
        <f>SUM(I208:I209)</f>
        <v>285.64</v>
      </c>
      <c r="J210" s="39">
        <f aca="true" t="shared" si="56" ref="J210:T210">SUM(J208:J209)</f>
        <v>0.06</v>
      </c>
      <c r="K210" s="39">
        <f t="shared" si="56"/>
        <v>0.03</v>
      </c>
      <c r="L210" s="38">
        <f t="shared" si="56"/>
        <v>3.8</v>
      </c>
      <c r="M210" s="38">
        <f t="shared" si="56"/>
        <v>0.01</v>
      </c>
      <c r="N210" s="38">
        <f t="shared" si="56"/>
        <v>0.06</v>
      </c>
      <c r="O210" s="38">
        <f t="shared" si="56"/>
        <v>29.470000000000002</v>
      </c>
      <c r="P210" s="38">
        <f t="shared" si="56"/>
        <v>123.68</v>
      </c>
      <c r="Q210" s="38">
        <f t="shared" si="56"/>
        <v>1.017</v>
      </c>
      <c r="R210" s="40">
        <f t="shared" si="56"/>
        <v>0</v>
      </c>
      <c r="S210" s="38">
        <f t="shared" si="56"/>
        <v>26.380000000000003</v>
      </c>
      <c r="T210" s="39">
        <f t="shared" si="56"/>
        <v>1.45</v>
      </c>
      <c r="U210" s="38"/>
      <c r="V210" s="142"/>
      <c r="W210" s="142"/>
      <c r="X210" s="142"/>
    </row>
    <row r="211" spans="1:24" s="1" customFormat="1" ht="11.25" customHeight="1">
      <c r="A211" s="229" t="s">
        <v>63</v>
      </c>
      <c r="B211" s="230"/>
      <c r="C211" s="230"/>
      <c r="D211" s="231"/>
      <c r="E211" s="181"/>
      <c r="F211" s="76">
        <f>F210/F213</f>
        <v>0.06066666666666667</v>
      </c>
      <c r="G211" s="44">
        <f aca="true" t="shared" si="57" ref="G211:T211">G210/G213</f>
        <v>0.06391304347826086</v>
      </c>
      <c r="H211" s="44">
        <f t="shared" si="57"/>
        <v>0.13765013054830286</v>
      </c>
      <c r="I211" s="44">
        <f t="shared" si="57"/>
        <v>0.10501470588235294</v>
      </c>
      <c r="J211" s="44">
        <f t="shared" si="57"/>
        <v>0.04285714285714286</v>
      </c>
      <c r="K211" s="44">
        <f t="shared" si="57"/>
        <v>0.01875</v>
      </c>
      <c r="L211" s="44">
        <f t="shared" si="57"/>
        <v>0.054285714285714284</v>
      </c>
      <c r="M211" s="44">
        <f t="shared" si="57"/>
        <v>0.011111111111111112</v>
      </c>
      <c r="N211" s="44">
        <f t="shared" si="57"/>
        <v>0.005</v>
      </c>
      <c r="O211" s="44">
        <f t="shared" si="57"/>
        <v>0.024558333333333335</v>
      </c>
      <c r="P211" s="44">
        <f t="shared" si="57"/>
        <v>0.10306666666666667</v>
      </c>
      <c r="Q211" s="44">
        <f t="shared" si="57"/>
        <v>0.07264285714285713</v>
      </c>
      <c r="R211" s="44">
        <f t="shared" si="57"/>
        <v>0</v>
      </c>
      <c r="S211" s="44">
        <f t="shared" si="57"/>
        <v>0.08793333333333334</v>
      </c>
      <c r="T211" s="44">
        <f t="shared" si="57"/>
        <v>0.08055555555555555</v>
      </c>
      <c r="U211" s="144"/>
      <c r="V211" s="142"/>
      <c r="W211" s="142"/>
      <c r="X211" s="142"/>
    </row>
    <row r="212" spans="1:24" s="1" customFormat="1" ht="11.25" customHeight="1">
      <c r="A212" s="259" t="s">
        <v>62</v>
      </c>
      <c r="B212" s="260"/>
      <c r="C212" s="260"/>
      <c r="D212" s="261"/>
      <c r="E212" s="174"/>
      <c r="F212" s="39">
        <f aca="true" t="shared" si="58" ref="F212:T212">SUM(F192,F204,F210)</f>
        <v>45.53066666666667</v>
      </c>
      <c r="G212" s="38">
        <f t="shared" si="58"/>
        <v>57.202000000000005</v>
      </c>
      <c r="H212" s="38">
        <f t="shared" si="58"/>
        <v>255.18616666666665</v>
      </c>
      <c r="I212" s="38">
        <f t="shared" si="58"/>
        <v>1648.5453333333335</v>
      </c>
      <c r="J212" s="39">
        <f t="shared" si="58"/>
        <v>0.8558333333333332</v>
      </c>
      <c r="K212" s="39">
        <f t="shared" si="58"/>
        <v>0.6523333333333332</v>
      </c>
      <c r="L212" s="38">
        <f t="shared" si="58"/>
        <v>88.29916666666666</v>
      </c>
      <c r="M212" s="39">
        <f t="shared" si="58"/>
        <v>12.803333333333335</v>
      </c>
      <c r="N212" s="39">
        <f t="shared" si="58"/>
        <v>6.801666666666666</v>
      </c>
      <c r="O212" s="38">
        <f t="shared" si="58"/>
        <v>248.11416666666668</v>
      </c>
      <c r="P212" s="38">
        <f t="shared" si="58"/>
        <v>808.8101666666666</v>
      </c>
      <c r="Q212" s="39">
        <f t="shared" si="58"/>
        <v>8.502666666666666</v>
      </c>
      <c r="R212" s="40">
        <f t="shared" si="58"/>
        <v>2.5632833333333327</v>
      </c>
      <c r="S212" s="39">
        <f t="shared" si="58"/>
        <v>213.15400000000002</v>
      </c>
      <c r="T212" s="39">
        <f t="shared" si="58"/>
        <v>11.565666666666667</v>
      </c>
      <c r="U212" s="42"/>
      <c r="V212" s="142"/>
      <c r="W212" s="142"/>
      <c r="X212" s="142"/>
    </row>
    <row r="213" spans="1:24" s="1" customFormat="1" ht="11.25" customHeight="1">
      <c r="A213" s="259" t="s">
        <v>64</v>
      </c>
      <c r="B213" s="260"/>
      <c r="C213" s="260"/>
      <c r="D213" s="261"/>
      <c r="E213" s="174"/>
      <c r="F213" s="148">
        <v>90</v>
      </c>
      <c r="G213" s="146">
        <v>92</v>
      </c>
      <c r="H213" s="146">
        <v>383</v>
      </c>
      <c r="I213" s="146">
        <v>2720</v>
      </c>
      <c r="J213" s="148">
        <v>1.4</v>
      </c>
      <c r="K213" s="148">
        <v>1.6</v>
      </c>
      <c r="L213" s="147">
        <v>70</v>
      </c>
      <c r="M213" s="148">
        <v>0.9</v>
      </c>
      <c r="N213" s="147">
        <v>12</v>
      </c>
      <c r="O213" s="147">
        <v>1200</v>
      </c>
      <c r="P213" s="147">
        <v>1200</v>
      </c>
      <c r="Q213" s="147">
        <v>14</v>
      </c>
      <c r="R213" s="146">
        <v>0.1</v>
      </c>
      <c r="S213" s="147">
        <v>300</v>
      </c>
      <c r="T213" s="148">
        <v>18</v>
      </c>
      <c r="U213" s="150"/>
      <c r="V213" s="151"/>
      <c r="W213" s="151"/>
      <c r="X213" s="151"/>
    </row>
    <row r="214" spans="1:24" s="1" customFormat="1" ht="11.25" customHeight="1">
      <c r="A214" s="229" t="s">
        <v>63</v>
      </c>
      <c r="B214" s="230"/>
      <c r="C214" s="230"/>
      <c r="D214" s="231"/>
      <c r="E214" s="181"/>
      <c r="F214" s="76">
        <f aca="true" t="shared" si="59" ref="F214:T214">F212/F213</f>
        <v>0.5058962962962963</v>
      </c>
      <c r="G214" s="44">
        <f t="shared" si="59"/>
        <v>0.6217608695652175</v>
      </c>
      <c r="H214" s="44">
        <f t="shared" si="59"/>
        <v>0.6662824194952132</v>
      </c>
      <c r="I214" s="44">
        <f t="shared" si="59"/>
        <v>0.6060828431372549</v>
      </c>
      <c r="J214" s="44">
        <f t="shared" si="59"/>
        <v>0.6113095238095237</v>
      </c>
      <c r="K214" s="44">
        <f t="shared" si="59"/>
        <v>0.40770833333333323</v>
      </c>
      <c r="L214" s="45">
        <f t="shared" si="59"/>
        <v>1.2614166666666666</v>
      </c>
      <c r="M214" s="45">
        <f t="shared" si="59"/>
        <v>14.225925925925926</v>
      </c>
      <c r="N214" s="45">
        <f t="shared" si="59"/>
        <v>0.5668055555555555</v>
      </c>
      <c r="O214" s="44">
        <f t="shared" si="59"/>
        <v>0.20676180555555557</v>
      </c>
      <c r="P214" s="44">
        <f t="shared" si="59"/>
        <v>0.6740084722222222</v>
      </c>
      <c r="Q214" s="44">
        <f t="shared" si="59"/>
        <v>0.6073333333333333</v>
      </c>
      <c r="R214" s="45">
        <f t="shared" si="59"/>
        <v>25.632833333333327</v>
      </c>
      <c r="S214" s="44">
        <f t="shared" si="59"/>
        <v>0.7105133333333334</v>
      </c>
      <c r="T214" s="45">
        <f t="shared" si="59"/>
        <v>0.642537037037037</v>
      </c>
      <c r="U214" s="46"/>
      <c r="V214" s="47"/>
      <c r="W214" s="47"/>
      <c r="X214" s="47"/>
    </row>
    <row r="215" spans="1:24" s="1" customFormat="1" ht="11.25" customHeight="1">
      <c r="A215" s="57"/>
      <c r="B215" s="54"/>
      <c r="C215" s="54"/>
      <c r="D215" s="71"/>
      <c r="E215" s="71"/>
      <c r="F215" s="34"/>
      <c r="G215" s="71"/>
      <c r="H215" s="71"/>
      <c r="I215" s="71"/>
      <c r="J215" s="71"/>
      <c r="K215" s="71"/>
      <c r="L215" s="71"/>
      <c r="M215" s="269" t="s">
        <v>66</v>
      </c>
      <c r="N215" s="269"/>
      <c r="O215" s="269"/>
      <c r="P215" s="269"/>
      <c r="Q215" s="269"/>
      <c r="R215" s="269"/>
      <c r="S215" s="269"/>
      <c r="T215" s="269"/>
      <c r="U215" s="12"/>
      <c r="V215" s="19"/>
      <c r="W215" s="19"/>
      <c r="X215" s="19"/>
    </row>
    <row r="216" spans="1:24" s="1" customFormat="1" ht="11.25" customHeight="1">
      <c r="A216" s="262" t="s">
        <v>41</v>
      </c>
      <c r="B216" s="262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13"/>
      <c r="V216" s="25"/>
      <c r="W216" s="25"/>
      <c r="X216" s="25"/>
    </row>
    <row r="217" spans="1:24" s="1" customFormat="1" ht="11.25" customHeight="1">
      <c r="A217" s="58" t="s">
        <v>55</v>
      </c>
      <c r="B217" s="54"/>
      <c r="C217" s="54"/>
      <c r="D217" s="2"/>
      <c r="E217" s="2"/>
      <c r="F217" s="34"/>
      <c r="G217" s="240" t="s">
        <v>33</v>
      </c>
      <c r="H217" s="240"/>
      <c r="I217" s="240"/>
      <c r="J217" s="71"/>
      <c r="K217" s="71"/>
      <c r="L217" s="247" t="s">
        <v>2</v>
      </c>
      <c r="M217" s="247"/>
      <c r="N217" s="256"/>
      <c r="O217" s="256"/>
      <c r="P217" s="256"/>
      <c r="Q217" s="256"/>
      <c r="R217" s="71"/>
      <c r="S217" s="71"/>
      <c r="T217" s="71"/>
      <c r="U217" s="14"/>
      <c r="V217" s="20"/>
      <c r="W217" s="20"/>
      <c r="X217" s="20"/>
    </row>
    <row r="218" spans="1:24" s="1" customFormat="1" ht="11.25" customHeight="1">
      <c r="A218" s="54"/>
      <c r="B218" s="54"/>
      <c r="C218" s="54"/>
      <c r="D218" s="235" t="s">
        <v>3</v>
      </c>
      <c r="E218" s="235"/>
      <c r="F218" s="235"/>
      <c r="G218" s="7">
        <v>2</v>
      </c>
      <c r="H218" s="71"/>
      <c r="I218" s="2"/>
      <c r="J218" s="2"/>
      <c r="K218" s="2"/>
      <c r="L218" s="235" t="s">
        <v>4</v>
      </c>
      <c r="M218" s="235"/>
      <c r="N218" s="239" t="s">
        <v>57</v>
      </c>
      <c r="O218" s="239"/>
      <c r="P218" s="239"/>
      <c r="Q218" s="239"/>
      <c r="R218" s="239"/>
      <c r="S218" s="239"/>
      <c r="T218" s="239"/>
      <c r="U218" s="15"/>
      <c r="V218" s="21"/>
      <c r="W218" s="21"/>
      <c r="X218" s="21"/>
    </row>
    <row r="219" spans="1:24" s="1" customFormat="1" ht="21.75" customHeight="1">
      <c r="A219" s="241" t="s">
        <v>5</v>
      </c>
      <c r="B219" s="243" t="s">
        <v>6</v>
      </c>
      <c r="C219" s="244"/>
      <c r="D219" s="241" t="s">
        <v>7</v>
      </c>
      <c r="E219" s="183"/>
      <c r="F219" s="248" t="s">
        <v>8</v>
      </c>
      <c r="G219" s="249"/>
      <c r="H219" s="250"/>
      <c r="I219" s="241" t="s">
        <v>9</v>
      </c>
      <c r="J219" s="248" t="s">
        <v>10</v>
      </c>
      <c r="K219" s="249"/>
      <c r="L219" s="249"/>
      <c r="M219" s="249"/>
      <c r="N219" s="250"/>
      <c r="O219" s="248" t="s">
        <v>11</v>
      </c>
      <c r="P219" s="249"/>
      <c r="Q219" s="249"/>
      <c r="R219" s="249"/>
      <c r="S219" s="249"/>
      <c r="T219" s="250"/>
      <c r="U219" s="9"/>
      <c r="V219" s="22"/>
      <c r="W219" s="22"/>
      <c r="X219" s="22"/>
    </row>
    <row r="220" spans="1:24" s="1" customFormat="1" ht="21" customHeight="1">
      <c r="A220" s="242"/>
      <c r="B220" s="245"/>
      <c r="C220" s="246"/>
      <c r="D220" s="242"/>
      <c r="E220" s="176"/>
      <c r="F220" s="100" t="s">
        <v>12</v>
      </c>
      <c r="G220" s="177" t="s">
        <v>13</v>
      </c>
      <c r="H220" s="177" t="s">
        <v>14</v>
      </c>
      <c r="I220" s="242"/>
      <c r="J220" s="177" t="s">
        <v>15</v>
      </c>
      <c r="K220" s="177" t="s">
        <v>58</v>
      </c>
      <c r="L220" s="177" t="s">
        <v>16</v>
      </c>
      <c r="M220" s="177" t="s">
        <v>17</v>
      </c>
      <c r="N220" s="177" t="s">
        <v>18</v>
      </c>
      <c r="O220" s="177" t="s">
        <v>19</v>
      </c>
      <c r="P220" s="177" t="s">
        <v>20</v>
      </c>
      <c r="Q220" s="177" t="s">
        <v>59</v>
      </c>
      <c r="R220" s="177" t="s">
        <v>60</v>
      </c>
      <c r="S220" s="177" t="s">
        <v>21</v>
      </c>
      <c r="T220" s="177" t="s">
        <v>22</v>
      </c>
      <c r="U220" s="9"/>
      <c r="V220" s="22"/>
      <c r="W220" s="22"/>
      <c r="X220" s="22"/>
    </row>
    <row r="221" spans="1:24" s="1" customFormat="1" ht="11.25" customHeight="1">
      <c r="A221" s="182">
        <v>1</v>
      </c>
      <c r="B221" s="257">
        <v>2</v>
      </c>
      <c r="C221" s="258"/>
      <c r="D221" s="37">
        <v>3</v>
      </c>
      <c r="E221" s="37"/>
      <c r="F221" s="37">
        <v>4</v>
      </c>
      <c r="G221" s="37">
        <v>5</v>
      </c>
      <c r="H221" s="37">
        <v>6</v>
      </c>
      <c r="I221" s="37">
        <v>7</v>
      </c>
      <c r="J221" s="37">
        <v>8</v>
      </c>
      <c r="K221" s="37">
        <v>9</v>
      </c>
      <c r="L221" s="37">
        <v>10</v>
      </c>
      <c r="M221" s="37">
        <v>11</v>
      </c>
      <c r="N221" s="37">
        <v>12</v>
      </c>
      <c r="O221" s="37">
        <v>13</v>
      </c>
      <c r="P221" s="37">
        <v>14</v>
      </c>
      <c r="Q221" s="37">
        <v>15</v>
      </c>
      <c r="R221" s="37">
        <v>16</v>
      </c>
      <c r="S221" s="37">
        <v>17</v>
      </c>
      <c r="T221" s="37">
        <v>18</v>
      </c>
      <c r="U221" s="10"/>
      <c r="V221" s="23"/>
      <c r="W221" s="23"/>
      <c r="X221" s="23"/>
    </row>
    <row r="222" spans="1:24" s="1" customFormat="1" ht="11.25" customHeight="1">
      <c r="A222" s="232" t="s">
        <v>26</v>
      </c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4"/>
      <c r="U222" s="11"/>
      <c r="V222" s="24"/>
      <c r="W222" s="24"/>
      <c r="X222" s="24"/>
    </row>
    <row r="223" spans="1:24" s="140" customFormat="1" ht="12.75" customHeight="1">
      <c r="A223" s="182"/>
      <c r="B223" s="221" t="s">
        <v>118</v>
      </c>
      <c r="C223" s="222"/>
      <c r="D223" s="147">
        <v>20</v>
      </c>
      <c r="E223" s="148">
        <v>6.47</v>
      </c>
      <c r="F223" s="148">
        <v>1.5</v>
      </c>
      <c r="G223" s="148"/>
      <c r="H223" s="148">
        <v>11.4</v>
      </c>
      <c r="I223" s="148">
        <f>F223*4+G223*9+H223*4</f>
        <v>51.6</v>
      </c>
      <c r="J223" s="145">
        <v>0.01</v>
      </c>
      <c r="K223" s="145">
        <v>0.08</v>
      </c>
      <c r="L223" s="148">
        <v>0.2</v>
      </c>
      <c r="M223" s="145">
        <v>0.01</v>
      </c>
      <c r="N223" s="145">
        <v>0.04</v>
      </c>
      <c r="O223" s="145">
        <v>61.4</v>
      </c>
      <c r="P223" s="145">
        <v>43.8</v>
      </c>
      <c r="Q223" s="145">
        <v>0.2</v>
      </c>
      <c r="R223" s="145">
        <v>0.001</v>
      </c>
      <c r="S223" s="145">
        <v>6.8</v>
      </c>
      <c r="T223" s="145">
        <v>0.04</v>
      </c>
      <c r="U223" s="30"/>
      <c r="V223" s="31"/>
      <c r="W223" s="31"/>
      <c r="X223" s="31"/>
    </row>
    <row r="224" spans="1:20" s="129" customFormat="1" ht="11.25">
      <c r="A224" s="135">
        <v>222</v>
      </c>
      <c r="B224" s="253" t="s">
        <v>100</v>
      </c>
      <c r="C224" s="254"/>
      <c r="D224" s="131">
        <v>170</v>
      </c>
      <c r="E224" s="130">
        <v>46.22</v>
      </c>
      <c r="F224" s="136">
        <v>14.92</v>
      </c>
      <c r="G224" s="136">
        <v>14.38</v>
      </c>
      <c r="H224" s="136">
        <v>31.51</v>
      </c>
      <c r="I224" s="136">
        <v>315.14</v>
      </c>
      <c r="J224" s="136">
        <v>0.26</v>
      </c>
      <c r="K224" s="136">
        <v>0.408</v>
      </c>
      <c r="L224" s="136">
        <v>0.935</v>
      </c>
      <c r="M224" s="136">
        <v>0.213</v>
      </c>
      <c r="N224" s="136">
        <v>1.36</v>
      </c>
      <c r="O224" s="136">
        <v>215.96</v>
      </c>
      <c r="P224" s="136">
        <v>414.6</v>
      </c>
      <c r="Q224" s="136">
        <v>1.2</v>
      </c>
      <c r="R224" s="136">
        <v>0.02</v>
      </c>
      <c r="S224" s="136">
        <v>93.883</v>
      </c>
      <c r="T224" s="136">
        <v>2.533</v>
      </c>
    </row>
    <row r="225" spans="1:24" s="140" customFormat="1" ht="11.25" customHeight="1">
      <c r="A225" s="200">
        <v>382</v>
      </c>
      <c r="B225" s="221" t="s">
        <v>93</v>
      </c>
      <c r="C225" s="222"/>
      <c r="D225" s="147">
        <v>200</v>
      </c>
      <c r="E225" s="148">
        <v>14.3</v>
      </c>
      <c r="F225" s="148">
        <f>3.5*D225/200</f>
        <v>3.5</v>
      </c>
      <c r="G225" s="148">
        <f>3.7*D225/200</f>
        <v>3.7</v>
      </c>
      <c r="H225" s="148">
        <f>25.5*D225/200</f>
        <v>25.5</v>
      </c>
      <c r="I225" s="148">
        <f>F225*4+G225*9+H225*4</f>
        <v>149.3</v>
      </c>
      <c r="J225" s="148">
        <f>0.06*D225/200</f>
        <v>0.06</v>
      </c>
      <c r="K225" s="148">
        <f>0.006*D225/200</f>
        <v>0.006</v>
      </c>
      <c r="L225" s="148">
        <f>1.6*D225/200</f>
        <v>1.6</v>
      </c>
      <c r="M225" s="149">
        <f>0.04*D225/200</f>
        <v>0.04</v>
      </c>
      <c r="N225" s="148">
        <f>0.4*D225/200</f>
        <v>0.4</v>
      </c>
      <c r="O225" s="148">
        <f>102.6*D225/200</f>
        <v>102.6</v>
      </c>
      <c r="P225" s="148">
        <f>178.4*D225/200</f>
        <v>178.4</v>
      </c>
      <c r="Q225" s="148">
        <f>1*D225/200</f>
        <v>1</v>
      </c>
      <c r="R225" s="149">
        <f>0.001*D225/200</f>
        <v>0.001</v>
      </c>
      <c r="S225" s="148">
        <f>24.8*D225/200</f>
        <v>24.8</v>
      </c>
      <c r="T225" s="148">
        <f>0.48*D225/200</f>
        <v>0.48</v>
      </c>
      <c r="U225" s="150"/>
      <c r="V225" s="151"/>
      <c r="W225" s="151"/>
      <c r="X225" s="151"/>
    </row>
    <row r="226" spans="1:24" s="140" customFormat="1" ht="11.25" customHeight="1">
      <c r="A226" s="153" t="s">
        <v>67</v>
      </c>
      <c r="B226" s="221" t="s">
        <v>53</v>
      </c>
      <c r="C226" s="222"/>
      <c r="D226" s="147">
        <v>40</v>
      </c>
      <c r="E226" s="148">
        <v>3.01</v>
      </c>
      <c r="F226" s="148">
        <f>1.52*D226/30</f>
        <v>2.0266666666666664</v>
      </c>
      <c r="G226" s="149">
        <f>0.16*D226/30</f>
        <v>0.21333333333333335</v>
      </c>
      <c r="H226" s="149">
        <f>9.84*D226/30</f>
        <v>13.120000000000001</v>
      </c>
      <c r="I226" s="149">
        <f>F226*4+G226*9+H226*4</f>
        <v>62.50666666666667</v>
      </c>
      <c r="J226" s="149">
        <f>0.02*D226/30</f>
        <v>0.02666666666666667</v>
      </c>
      <c r="K226" s="149">
        <f>0.01*D226/30</f>
        <v>0.013333333333333334</v>
      </c>
      <c r="L226" s="149">
        <f>0.44*D226/30</f>
        <v>0.5866666666666667</v>
      </c>
      <c r="M226" s="149">
        <v>0</v>
      </c>
      <c r="N226" s="149">
        <f>0.7*D226/30</f>
        <v>0.9333333333333333</v>
      </c>
      <c r="O226" s="149">
        <f>4*D226/30</f>
        <v>5.333333333333333</v>
      </c>
      <c r="P226" s="149">
        <f>13*D226/30</f>
        <v>17.333333333333332</v>
      </c>
      <c r="Q226" s="149">
        <f>0.008*D226/30</f>
        <v>0.010666666666666666</v>
      </c>
      <c r="R226" s="149">
        <f>0.001*D226/30</f>
        <v>0.0013333333333333333</v>
      </c>
      <c r="S226" s="149">
        <v>0</v>
      </c>
      <c r="T226" s="149">
        <f>0.22*D226/30</f>
        <v>0.29333333333333333</v>
      </c>
      <c r="U226" s="150"/>
      <c r="V226" s="151"/>
      <c r="W226" s="151"/>
      <c r="X226" s="151"/>
    </row>
    <row r="227" spans="1:24" s="140" customFormat="1" ht="11.25" customHeight="1">
      <c r="A227" s="63" t="s">
        <v>27</v>
      </c>
      <c r="B227" s="64"/>
      <c r="C227" s="64"/>
      <c r="D227" s="65">
        <f aca="true" t="shared" si="60" ref="D227:T227">SUM(D223:D226)</f>
        <v>430</v>
      </c>
      <c r="E227" s="154">
        <f t="shared" si="60"/>
        <v>70</v>
      </c>
      <c r="F227" s="39">
        <f t="shared" si="60"/>
        <v>21.94666666666667</v>
      </c>
      <c r="G227" s="39">
        <f t="shared" si="60"/>
        <v>18.293333333333337</v>
      </c>
      <c r="H227" s="39">
        <f t="shared" si="60"/>
        <v>81.53</v>
      </c>
      <c r="I227" s="39">
        <f t="shared" si="60"/>
        <v>578.5466666666666</v>
      </c>
      <c r="J227" s="39">
        <f t="shared" si="60"/>
        <v>0.3566666666666667</v>
      </c>
      <c r="K227" s="39">
        <f t="shared" si="60"/>
        <v>0.5073333333333333</v>
      </c>
      <c r="L227" s="39">
        <f t="shared" si="60"/>
        <v>3.321666666666667</v>
      </c>
      <c r="M227" s="39">
        <f t="shared" si="60"/>
        <v>0.263</v>
      </c>
      <c r="N227" s="39">
        <f t="shared" si="60"/>
        <v>2.7333333333333334</v>
      </c>
      <c r="O227" s="39">
        <f t="shared" si="60"/>
        <v>385.29333333333335</v>
      </c>
      <c r="P227" s="39">
        <f t="shared" si="60"/>
        <v>654.1333333333334</v>
      </c>
      <c r="Q227" s="39">
        <f t="shared" si="60"/>
        <v>2.4106666666666667</v>
      </c>
      <c r="R227" s="39">
        <f t="shared" si="60"/>
        <v>0.023333333333333334</v>
      </c>
      <c r="S227" s="39">
        <f t="shared" si="60"/>
        <v>125.48299999999999</v>
      </c>
      <c r="T227" s="39">
        <f t="shared" si="60"/>
        <v>3.3463333333333334</v>
      </c>
      <c r="U227" s="38"/>
      <c r="V227" s="142"/>
      <c r="W227" s="142"/>
      <c r="X227" s="142"/>
    </row>
    <row r="228" spans="1:24" s="140" customFormat="1" ht="11.25" customHeight="1">
      <c r="A228" s="229" t="s">
        <v>63</v>
      </c>
      <c r="B228" s="230"/>
      <c r="C228" s="230"/>
      <c r="D228" s="231"/>
      <c r="E228" s="180"/>
      <c r="F228" s="155">
        <f aca="true" t="shared" si="61" ref="F228:T228">F227/F248</f>
        <v>0.24385185185185188</v>
      </c>
      <c r="G228" s="44">
        <f t="shared" si="61"/>
        <v>0.19884057971014496</v>
      </c>
      <c r="H228" s="44">
        <f t="shared" si="61"/>
        <v>0.21287206266318537</v>
      </c>
      <c r="I228" s="44">
        <f t="shared" si="61"/>
        <v>0.21270098039215685</v>
      </c>
      <c r="J228" s="44">
        <f t="shared" si="61"/>
        <v>0.2547619047619048</v>
      </c>
      <c r="K228" s="44">
        <f t="shared" si="61"/>
        <v>0.3170833333333333</v>
      </c>
      <c r="L228" s="44">
        <f t="shared" si="61"/>
        <v>0.04745238095238096</v>
      </c>
      <c r="M228" s="44">
        <f t="shared" si="61"/>
        <v>0.2922222222222222</v>
      </c>
      <c r="N228" s="44">
        <f t="shared" si="61"/>
        <v>0.22777777777777777</v>
      </c>
      <c r="O228" s="44">
        <f t="shared" si="61"/>
        <v>0.3210777777777778</v>
      </c>
      <c r="P228" s="44">
        <f t="shared" si="61"/>
        <v>0.5451111111111112</v>
      </c>
      <c r="Q228" s="44">
        <f t="shared" si="61"/>
        <v>0.1721904761904762</v>
      </c>
      <c r="R228" s="44">
        <f t="shared" si="61"/>
        <v>0.23333333333333334</v>
      </c>
      <c r="S228" s="44">
        <f t="shared" si="61"/>
        <v>0.41827666666666663</v>
      </c>
      <c r="T228" s="44">
        <f t="shared" si="61"/>
        <v>0.1859074074074074</v>
      </c>
      <c r="U228" s="144"/>
      <c r="V228" s="142"/>
      <c r="W228" s="142"/>
      <c r="X228" s="142"/>
    </row>
    <row r="229" spans="1:24" s="140" customFormat="1" ht="11.25" customHeight="1" hidden="1">
      <c r="A229" s="179"/>
      <c r="B229" s="180"/>
      <c r="C229" s="180"/>
      <c r="D229" s="180"/>
      <c r="E229" s="171">
        <f>70-E227</f>
        <v>0</v>
      </c>
      <c r="F229" s="155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9"/>
      <c r="U229" s="144"/>
      <c r="V229" s="142"/>
      <c r="W229" s="142"/>
      <c r="X229" s="142"/>
    </row>
    <row r="230" spans="1:24" s="140" customFormat="1" ht="11.25" customHeight="1">
      <c r="A230" s="236" t="s">
        <v>28</v>
      </c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8"/>
      <c r="U230" s="16"/>
      <c r="V230" s="26"/>
      <c r="W230" s="26"/>
      <c r="X230" s="26"/>
    </row>
    <row r="231" spans="1:24" s="140" customFormat="1" ht="22.5" customHeight="1">
      <c r="A231" s="219">
        <v>56</v>
      </c>
      <c r="B231" s="255" t="s">
        <v>115</v>
      </c>
      <c r="C231" s="255"/>
      <c r="D231" s="147">
        <v>100</v>
      </c>
      <c r="E231" s="148">
        <v>7.5</v>
      </c>
      <c r="F231" s="148">
        <f>0.9*D231/60</f>
        <v>1.5</v>
      </c>
      <c r="G231" s="146">
        <f>3.1*D231/60</f>
        <v>5.166666666666667</v>
      </c>
      <c r="H231" s="146">
        <f>5.6*D231/60</f>
        <v>9.333333333333334</v>
      </c>
      <c r="I231" s="148">
        <f>F231*4+G231*9+H231*4</f>
        <v>89.83333333333334</v>
      </c>
      <c r="J231" s="149">
        <f>0.1*D231/60</f>
        <v>0.16666666666666666</v>
      </c>
      <c r="K231" s="149">
        <f>0.1*D231/60</f>
        <v>0.16666666666666666</v>
      </c>
      <c r="L231" s="148">
        <f>12.3*D231/60</f>
        <v>20.5</v>
      </c>
      <c r="M231" s="149">
        <f>0.02*D231/60</f>
        <v>0.03333333333333333</v>
      </c>
      <c r="N231" s="149">
        <f>0.5*D231/60</f>
        <v>0.8333333333333334</v>
      </c>
      <c r="O231" s="146">
        <f>59.9*D231/60</f>
        <v>99.83333333333333</v>
      </c>
      <c r="P231" s="146">
        <f>31.3*D231/60</f>
        <v>52.166666666666664</v>
      </c>
      <c r="Q231" s="152">
        <f>0.4228*D231/60</f>
        <v>0.7046666666666667</v>
      </c>
      <c r="R231" s="149">
        <f>0.003*D231/60</f>
        <v>0.005</v>
      </c>
      <c r="S231" s="146">
        <f>16.3*D231/60</f>
        <v>27.166666666666668</v>
      </c>
      <c r="T231" s="148">
        <f>0.7*D231/60</f>
        <v>1.1666666666666667</v>
      </c>
      <c r="U231" s="150"/>
      <c r="V231" s="151"/>
      <c r="W231" s="151"/>
      <c r="X231" s="151"/>
    </row>
    <row r="232" spans="1:24" s="140" customFormat="1" ht="22.5" customHeight="1">
      <c r="A232" s="133">
        <v>103</v>
      </c>
      <c r="B232" s="275" t="s">
        <v>98</v>
      </c>
      <c r="C232" s="275"/>
      <c r="D232" s="134">
        <v>250</v>
      </c>
      <c r="E232" s="128">
        <v>9.68</v>
      </c>
      <c r="F232" s="128">
        <v>12.37</v>
      </c>
      <c r="G232" s="128">
        <v>11.12</v>
      </c>
      <c r="H232" s="128">
        <v>31.5</v>
      </c>
      <c r="I232" s="128">
        <v>275.62</v>
      </c>
      <c r="J232" s="128">
        <v>0.25</v>
      </c>
      <c r="K232" s="128">
        <v>0.063</v>
      </c>
      <c r="L232" s="128">
        <v>8.25</v>
      </c>
      <c r="M232" s="128">
        <v>0</v>
      </c>
      <c r="N232" s="128">
        <v>0</v>
      </c>
      <c r="O232" s="128">
        <v>49.37</v>
      </c>
      <c r="P232" s="128">
        <v>93.37</v>
      </c>
      <c r="Q232" s="128">
        <v>0</v>
      </c>
      <c r="R232" s="128">
        <v>0.001</v>
      </c>
      <c r="S232" s="128">
        <v>27.25</v>
      </c>
      <c r="T232" s="128">
        <v>0.37</v>
      </c>
      <c r="U232" s="150"/>
      <c r="V232" s="151"/>
      <c r="W232" s="151"/>
      <c r="X232" s="151"/>
    </row>
    <row r="233" spans="1:24" s="140" customFormat="1" ht="13.5" customHeight="1">
      <c r="A233" s="153">
        <v>232</v>
      </c>
      <c r="B233" s="221" t="s">
        <v>133</v>
      </c>
      <c r="C233" s="222"/>
      <c r="D233" s="147">
        <v>90</v>
      </c>
      <c r="E233" s="148">
        <v>29.68</v>
      </c>
      <c r="F233" s="148">
        <v>8.36</v>
      </c>
      <c r="G233" s="148">
        <v>5.35</v>
      </c>
      <c r="H233" s="148">
        <v>10.45</v>
      </c>
      <c r="I233" s="148">
        <v>125.95</v>
      </c>
      <c r="J233" s="148">
        <v>0.07</v>
      </c>
      <c r="K233" s="148">
        <v>0.07</v>
      </c>
      <c r="L233" s="146">
        <v>0.42</v>
      </c>
      <c r="M233" s="148">
        <v>0</v>
      </c>
      <c r="N233" s="145">
        <v>0</v>
      </c>
      <c r="O233" s="148">
        <v>39.14</v>
      </c>
      <c r="P233" s="148">
        <v>124.85</v>
      </c>
      <c r="Q233" s="148">
        <v>0</v>
      </c>
      <c r="R233" s="149">
        <f>0.009*D233/80</f>
        <v>0.010124999999999999</v>
      </c>
      <c r="S233" s="148">
        <v>30</v>
      </c>
      <c r="T233" s="148">
        <v>0.74</v>
      </c>
      <c r="U233" s="11"/>
      <c r="V233" s="24"/>
      <c r="W233" s="24"/>
      <c r="X233" s="24"/>
    </row>
    <row r="234" spans="1:24" s="140" customFormat="1" ht="15" customHeight="1">
      <c r="A234" s="153">
        <v>312</v>
      </c>
      <c r="B234" s="221" t="s">
        <v>47</v>
      </c>
      <c r="C234" s="222"/>
      <c r="D234" s="147">
        <v>180</v>
      </c>
      <c r="E234" s="148">
        <v>19.11</v>
      </c>
      <c r="F234" s="148">
        <f>D234*3.29/150</f>
        <v>3.9480000000000004</v>
      </c>
      <c r="G234" s="148">
        <f>D234*7.06/150</f>
        <v>8.472</v>
      </c>
      <c r="H234" s="148">
        <f>D234*22.21/150</f>
        <v>26.652</v>
      </c>
      <c r="I234" s="148">
        <f>F234*4+G234*9+H234*4</f>
        <v>198.648</v>
      </c>
      <c r="J234" s="148">
        <f>D234*0.16/150</f>
        <v>0.192</v>
      </c>
      <c r="K234" s="148">
        <f>D234*0.13/150</f>
        <v>0.15600000000000003</v>
      </c>
      <c r="L234" s="148">
        <f>D234*0.73/150</f>
        <v>0.876</v>
      </c>
      <c r="M234" s="149">
        <f>D234*0.08/150</f>
        <v>0.096</v>
      </c>
      <c r="N234" s="145">
        <f>1.5*D234/150</f>
        <v>1.8</v>
      </c>
      <c r="O234" s="148">
        <f>D234*42.54/150</f>
        <v>51.048</v>
      </c>
      <c r="P234" s="146">
        <f>D234*97.75/150</f>
        <v>117.3</v>
      </c>
      <c r="Q234" s="149">
        <f>0.299*D234/150</f>
        <v>0.3588</v>
      </c>
      <c r="R234" s="149">
        <f>0.001*D234/150</f>
        <v>0.0012</v>
      </c>
      <c r="S234" s="148">
        <f>D234*33.06/150</f>
        <v>39.672000000000004</v>
      </c>
      <c r="T234" s="148">
        <f>D234*1.19/150</f>
        <v>1.428</v>
      </c>
      <c r="U234" s="11"/>
      <c r="V234" s="24"/>
      <c r="W234" s="24"/>
      <c r="X234" s="24"/>
    </row>
    <row r="235" spans="1:24" ht="11.25">
      <c r="A235" s="189">
        <v>699</v>
      </c>
      <c r="B235" s="251" t="s">
        <v>114</v>
      </c>
      <c r="C235" s="252"/>
      <c r="D235" s="190">
        <v>200</v>
      </c>
      <c r="E235" s="191">
        <v>7.5</v>
      </c>
      <c r="F235" s="191">
        <v>0.1</v>
      </c>
      <c r="G235" s="192">
        <v>0</v>
      </c>
      <c r="H235" s="193">
        <v>15.7</v>
      </c>
      <c r="I235" s="191">
        <v>63.2</v>
      </c>
      <c r="J235" s="192">
        <v>0.018</v>
      </c>
      <c r="K235" s="192">
        <v>0.012</v>
      </c>
      <c r="L235" s="193">
        <v>8</v>
      </c>
      <c r="M235" s="192">
        <v>0</v>
      </c>
      <c r="N235" s="191">
        <v>0.2</v>
      </c>
      <c r="O235" s="191">
        <v>10.8</v>
      </c>
      <c r="P235" s="191">
        <v>1.7</v>
      </c>
      <c r="Q235" s="191">
        <v>0</v>
      </c>
      <c r="R235" s="194">
        <v>0</v>
      </c>
      <c r="S235" s="191">
        <v>5.8</v>
      </c>
      <c r="T235" s="191">
        <v>1.6</v>
      </c>
      <c r="U235"/>
      <c r="V235"/>
      <c r="W235"/>
      <c r="X235"/>
    </row>
    <row r="236" spans="1:24" s="140" customFormat="1" ht="11.25" customHeight="1">
      <c r="A236" s="78" t="s">
        <v>67</v>
      </c>
      <c r="B236" s="221" t="s">
        <v>46</v>
      </c>
      <c r="C236" s="222"/>
      <c r="D236" s="147">
        <v>40</v>
      </c>
      <c r="E236" s="148">
        <v>2.04</v>
      </c>
      <c r="F236" s="148">
        <f>2.64*D236/40</f>
        <v>2.64</v>
      </c>
      <c r="G236" s="148">
        <f>0.48*D236/40</f>
        <v>0.48</v>
      </c>
      <c r="H236" s="148">
        <f>13.68*D236/40</f>
        <v>13.680000000000001</v>
      </c>
      <c r="I236" s="146">
        <f>F236*4+G236*9+H236*4</f>
        <v>69.60000000000001</v>
      </c>
      <c r="J236" s="145">
        <f>0.08*D236/40</f>
        <v>0.08</v>
      </c>
      <c r="K236" s="148">
        <f>0.04*D236/40</f>
        <v>0.04</v>
      </c>
      <c r="L236" s="147">
        <v>0</v>
      </c>
      <c r="M236" s="147">
        <v>0</v>
      </c>
      <c r="N236" s="148">
        <f>2.4*D236/40</f>
        <v>2.4</v>
      </c>
      <c r="O236" s="148">
        <f>14*D236/40</f>
        <v>14</v>
      </c>
      <c r="P236" s="148">
        <f>63.2*D236/40</f>
        <v>63.2</v>
      </c>
      <c r="Q236" s="148">
        <f>1.2*D236/40</f>
        <v>1.2</v>
      </c>
      <c r="R236" s="149">
        <f>0.001*D236/40</f>
        <v>0.001</v>
      </c>
      <c r="S236" s="148">
        <f>9.4*D236/40</f>
        <v>9.4</v>
      </c>
      <c r="T236" s="145">
        <f>0.78*D236/40</f>
        <v>0.78</v>
      </c>
      <c r="U236" s="30"/>
      <c r="V236" s="31"/>
      <c r="W236" s="31"/>
      <c r="X236" s="31"/>
    </row>
    <row r="237" spans="1:24" ht="11.25">
      <c r="A237" s="184" t="s">
        <v>67</v>
      </c>
      <c r="B237" s="274" t="s">
        <v>113</v>
      </c>
      <c r="C237" s="252"/>
      <c r="D237" s="184">
        <v>40</v>
      </c>
      <c r="E237" s="185">
        <v>11.39</v>
      </c>
      <c r="F237" s="185">
        <v>0.65</v>
      </c>
      <c r="G237" s="186">
        <v>3.8</v>
      </c>
      <c r="H237" s="187">
        <v>17.6</v>
      </c>
      <c r="I237" s="185">
        <v>38</v>
      </c>
      <c r="J237" s="185">
        <v>0.026</v>
      </c>
      <c r="K237" s="185">
        <v>0.03</v>
      </c>
      <c r="L237" s="185">
        <v>0.13</v>
      </c>
      <c r="M237" s="185">
        <v>11.96</v>
      </c>
      <c r="N237" s="186">
        <v>0.39</v>
      </c>
      <c r="O237" s="185">
        <v>24.18</v>
      </c>
      <c r="P237" s="185">
        <v>49.4</v>
      </c>
      <c r="Q237" s="188">
        <v>0.2</v>
      </c>
      <c r="R237" s="185">
        <v>0.002</v>
      </c>
      <c r="S237" s="185">
        <v>18.72</v>
      </c>
      <c r="T237" s="185">
        <v>0.182</v>
      </c>
      <c r="U237"/>
      <c r="V237"/>
      <c r="W237"/>
      <c r="X237"/>
    </row>
    <row r="238" spans="1:24" s="140" customFormat="1" ht="11.25" customHeight="1">
      <c r="A238" s="153" t="s">
        <v>67</v>
      </c>
      <c r="B238" s="221" t="s">
        <v>53</v>
      </c>
      <c r="C238" s="222"/>
      <c r="D238" s="147">
        <v>40</v>
      </c>
      <c r="E238" s="148">
        <v>3.1</v>
      </c>
      <c r="F238" s="148">
        <f>1.52*D238/30</f>
        <v>2.0266666666666664</v>
      </c>
      <c r="G238" s="149">
        <f>0.16*D238/30</f>
        <v>0.21333333333333335</v>
      </c>
      <c r="H238" s="149">
        <f>9.84*D238/30</f>
        <v>13.120000000000001</v>
      </c>
      <c r="I238" s="149">
        <f>F238*4+G238*9+H238*4</f>
        <v>62.50666666666667</v>
      </c>
      <c r="J238" s="149">
        <f>0.02*D238/30</f>
        <v>0.02666666666666667</v>
      </c>
      <c r="K238" s="149">
        <f>0.01*D238/30</f>
        <v>0.013333333333333334</v>
      </c>
      <c r="L238" s="149">
        <f>0.44*D238/30</f>
        <v>0.5866666666666667</v>
      </c>
      <c r="M238" s="149">
        <v>0</v>
      </c>
      <c r="N238" s="149">
        <f>0.7*D238/30</f>
        <v>0.9333333333333333</v>
      </c>
      <c r="O238" s="149">
        <f>4*D238/30</f>
        <v>5.333333333333333</v>
      </c>
      <c r="P238" s="149">
        <f>13*D238/30</f>
        <v>17.333333333333332</v>
      </c>
      <c r="Q238" s="149">
        <f>0.008*D238/30</f>
        <v>0.010666666666666666</v>
      </c>
      <c r="R238" s="149">
        <f>0.001*D238/30</f>
        <v>0.0013333333333333333</v>
      </c>
      <c r="S238" s="149">
        <v>0</v>
      </c>
      <c r="T238" s="149">
        <f>0.22*D238/30</f>
        <v>0.29333333333333333</v>
      </c>
      <c r="U238" s="150"/>
      <c r="V238" s="151"/>
      <c r="W238" s="151"/>
      <c r="X238" s="151"/>
    </row>
    <row r="239" spans="1:24" s="140" customFormat="1" ht="22.5" customHeight="1">
      <c r="A239" s="61" t="s">
        <v>29</v>
      </c>
      <c r="B239" s="62"/>
      <c r="C239" s="62"/>
      <c r="D239" s="109">
        <f aca="true" t="shared" si="62" ref="D239:I239">SUM(D231:D238)</f>
        <v>940</v>
      </c>
      <c r="E239" s="138">
        <f t="shared" si="62"/>
        <v>90</v>
      </c>
      <c r="F239" s="39">
        <f t="shared" si="62"/>
        <v>31.594666666666665</v>
      </c>
      <c r="G239" s="38">
        <f t="shared" si="62"/>
        <v>34.602</v>
      </c>
      <c r="H239" s="38">
        <f t="shared" si="62"/>
        <v>138.03533333333334</v>
      </c>
      <c r="I239" s="38">
        <f t="shared" si="62"/>
        <v>923.3580000000001</v>
      </c>
      <c r="J239" s="39">
        <f aca="true" t="shared" si="63" ref="J239:T239">SUM(J231:J238)</f>
        <v>0.8293333333333333</v>
      </c>
      <c r="K239" s="39">
        <f t="shared" si="63"/>
        <v>0.551</v>
      </c>
      <c r="L239" s="38">
        <f t="shared" si="63"/>
        <v>38.762666666666675</v>
      </c>
      <c r="M239" s="39">
        <f t="shared" si="63"/>
        <v>12.089333333333334</v>
      </c>
      <c r="N239" s="40">
        <f t="shared" si="63"/>
        <v>6.556666666666667</v>
      </c>
      <c r="O239" s="39">
        <f t="shared" si="63"/>
        <v>293.70466666666664</v>
      </c>
      <c r="P239" s="38">
        <f t="shared" si="63"/>
        <v>519.3199999999999</v>
      </c>
      <c r="Q239" s="39">
        <f t="shared" si="63"/>
        <v>2.474133333333334</v>
      </c>
      <c r="R239" s="39">
        <f t="shared" si="63"/>
        <v>0.021658333333333335</v>
      </c>
      <c r="S239" s="39">
        <f t="shared" si="63"/>
        <v>158.0086666666667</v>
      </c>
      <c r="T239" s="39">
        <f t="shared" si="63"/>
        <v>6.56</v>
      </c>
      <c r="U239" s="38"/>
      <c r="V239" s="142"/>
      <c r="W239" s="142"/>
      <c r="X239" s="142"/>
    </row>
    <row r="240" spans="1:24" s="140" customFormat="1" ht="22.5" customHeight="1">
      <c r="A240" s="229" t="s">
        <v>63</v>
      </c>
      <c r="B240" s="230"/>
      <c r="C240" s="230"/>
      <c r="D240" s="231"/>
      <c r="E240" s="217"/>
      <c r="F240" s="155">
        <f>F239/F248</f>
        <v>0.35105185185185184</v>
      </c>
      <c r="G240" s="44">
        <f aca="true" t="shared" si="64" ref="G240:T240">G239/G248</f>
        <v>0.37610869565217386</v>
      </c>
      <c r="H240" s="44">
        <f t="shared" si="64"/>
        <v>0.36040557006092255</v>
      </c>
      <c r="I240" s="44">
        <f t="shared" si="64"/>
        <v>0.3394698529411765</v>
      </c>
      <c r="J240" s="44">
        <f t="shared" si="64"/>
        <v>0.5923809523809523</v>
      </c>
      <c r="K240" s="44">
        <f t="shared" si="64"/>
        <v>0.344375</v>
      </c>
      <c r="L240" s="44">
        <f t="shared" si="64"/>
        <v>0.5537523809523811</v>
      </c>
      <c r="M240" s="44">
        <f t="shared" si="64"/>
        <v>13.432592592592593</v>
      </c>
      <c r="N240" s="44">
        <f t="shared" si="64"/>
        <v>0.5463888888888889</v>
      </c>
      <c r="O240" s="44">
        <f t="shared" si="64"/>
        <v>0.24475388888888885</v>
      </c>
      <c r="P240" s="44">
        <f t="shared" si="64"/>
        <v>0.43276666666666663</v>
      </c>
      <c r="Q240" s="44">
        <f t="shared" si="64"/>
        <v>0.17672380952380956</v>
      </c>
      <c r="R240" s="44">
        <f t="shared" si="64"/>
        <v>0.21658333333333335</v>
      </c>
      <c r="S240" s="44">
        <f t="shared" si="64"/>
        <v>0.5266955555555557</v>
      </c>
      <c r="T240" s="44">
        <f t="shared" si="64"/>
        <v>0.3644444444444444</v>
      </c>
      <c r="U240" s="144"/>
      <c r="V240" s="142"/>
      <c r="W240" s="142"/>
      <c r="X240" s="142"/>
    </row>
    <row r="241" spans="1:24" s="140" customFormat="1" ht="13.5" customHeight="1" hidden="1">
      <c r="A241" s="216"/>
      <c r="B241" s="217"/>
      <c r="C241" s="217"/>
      <c r="D241" s="217"/>
      <c r="E241" s="171">
        <f>90-E239</f>
        <v>0</v>
      </c>
      <c r="F241" s="155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9"/>
      <c r="U241" s="144"/>
      <c r="V241" s="142"/>
      <c r="W241" s="142"/>
      <c r="X241" s="142"/>
    </row>
    <row r="242" spans="1:24" s="140" customFormat="1" ht="15" customHeight="1">
      <c r="A242" s="224" t="s">
        <v>30</v>
      </c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6"/>
      <c r="U242" s="11"/>
      <c r="V242" s="24"/>
      <c r="W242" s="24"/>
      <c r="X242" s="24"/>
    </row>
    <row r="243" spans="1:20" s="129" customFormat="1" ht="11.25" customHeight="1">
      <c r="A243" s="135"/>
      <c r="B243" s="272" t="s">
        <v>127</v>
      </c>
      <c r="C243" s="273"/>
      <c r="D243" s="131">
        <v>70</v>
      </c>
      <c r="E243" s="130">
        <v>26.39</v>
      </c>
      <c r="F243" s="130">
        <v>5.2</v>
      </c>
      <c r="G243" s="130">
        <v>5.82</v>
      </c>
      <c r="H243" s="130">
        <v>37.5</v>
      </c>
      <c r="I243" s="130">
        <f>F243*4+G243*9+H243*4</f>
        <v>223.18</v>
      </c>
      <c r="J243" s="130">
        <v>0.06</v>
      </c>
      <c r="K243" s="130">
        <v>0.02</v>
      </c>
      <c r="L243" s="203">
        <v>0.9</v>
      </c>
      <c r="M243" s="130">
        <v>0.01</v>
      </c>
      <c r="N243" s="202">
        <v>0</v>
      </c>
      <c r="O243" s="203">
        <v>21.42</v>
      </c>
      <c r="P243" s="130">
        <v>113.9</v>
      </c>
      <c r="Q243" s="203">
        <v>1</v>
      </c>
      <c r="R243" s="131">
        <v>0</v>
      </c>
      <c r="S243" s="130">
        <v>21.14</v>
      </c>
      <c r="T243" s="130">
        <v>0.58</v>
      </c>
    </row>
    <row r="244" spans="1:20" s="129" customFormat="1" ht="11.25" customHeight="1">
      <c r="A244" s="205">
        <v>377</v>
      </c>
      <c r="B244" s="227" t="s">
        <v>45</v>
      </c>
      <c r="C244" s="228"/>
      <c r="D244" s="206">
        <v>200</v>
      </c>
      <c r="E244" s="136">
        <v>3.61</v>
      </c>
      <c r="F244" s="128">
        <v>0.26</v>
      </c>
      <c r="G244" s="128">
        <v>0.06</v>
      </c>
      <c r="H244" s="128">
        <v>15.22</v>
      </c>
      <c r="I244" s="128">
        <v>62.46</v>
      </c>
      <c r="J244" s="128">
        <v>0</v>
      </c>
      <c r="K244" s="128">
        <v>0.01</v>
      </c>
      <c r="L244" s="128">
        <v>2.9</v>
      </c>
      <c r="M244" s="128">
        <v>0</v>
      </c>
      <c r="N244" s="128">
        <v>0.06</v>
      </c>
      <c r="O244" s="128">
        <v>8.05</v>
      </c>
      <c r="P244" s="128">
        <v>9.78</v>
      </c>
      <c r="Q244" s="128">
        <v>0.017</v>
      </c>
      <c r="R244" s="128">
        <v>0</v>
      </c>
      <c r="S244" s="128">
        <v>5.24</v>
      </c>
      <c r="T244" s="128">
        <v>0.87</v>
      </c>
    </row>
    <row r="245" spans="1:24" s="1" customFormat="1" ht="11.25" customHeight="1">
      <c r="A245" s="61" t="s">
        <v>31</v>
      </c>
      <c r="B245" s="62"/>
      <c r="C245" s="62"/>
      <c r="D245" s="65">
        <f aca="true" t="shared" si="65" ref="D245:T245">SUM(D243:D244)</f>
        <v>270</v>
      </c>
      <c r="E245" s="154">
        <f t="shared" si="65"/>
        <v>30</v>
      </c>
      <c r="F245" s="39">
        <f t="shared" si="65"/>
        <v>5.46</v>
      </c>
      <c r="G245" s="38">
        <f t="shared" si="65"/>
        <v>5.88</v>
      </c>
      <c r="H245" s="38">
        <f t="shared" si="65"/>
        <v>52.72</v>
      </c>
      <c r="I245" s="38">
        <f t="shared" si="65"/>
        <v>285.64</v>
      </c>
      <c r="J245" s="38">
        <f t="shared" si="65"/>
        <v>0.06</v>
      </c>
      <c r="K245" s="38">
        <f t="shared" si="65"/>
        <v>0.03</v>
      </c>
      <c r="L245" s="38">
        <f t="shared" si="65"/>
        <v>3.8</v>
      </c>
      <c r="M245" s="38">
        <f t="shared" si="65"/>
        <v>0.01</v>
      </c>
      <c r="N245" s="38">
        <f t="shared" si="65"/>
        <v>0.06</v>
      </c>
      <c r="O245" s="38">
        <f t="shared" si="65"/>
        <v>29.470000000000002</v>
      </c>
      <c r="P245" s="38">
        <f t="shared" si="65"/>
        <v>123.68</v>
      </c>
      <c r="Q245" s="38">
        <f t="shared" si="65"/>
        <v>1.017</v>
      </c>
      <c r="R245" s="40">
        <f t="shared" si="65"/>
        <v>0</v>
      </c>
      <c r="S245" s="38">
        <f t="shared" si="65"/>
        <v>26.380000000000003</v>
      </c>
      <c r="T245" s="38">
        <f t="shared" si="65"/>
        <v>1.45</v>
      </c>
      <c r="U245" s="38"/>
      <c r="V245" s="142"/>
      <c r="W245" s="142"/>
      <c r="X245" s="142"/>
    </row>
    <row r="246" spans="1:24" s="1" customFormat="1" ht="11.25" customHeight="1">
      <c r="A246" s="229" t="s">
        <v>63</v>
      </c>
      <c r="B246" s="230"/>
      <c r="C246" s="230"/>
      <c r="D246" s="231"/>
      <c r="E246" s="218"/>
      <c r="F246" s="76">
        <f>F245/F248</f>
        <v>0.06066666666666667</v>
      </c>
      <c r="G246" s="44">
        <f aca="true" t="shared" si="66" ref="G246:T246">G245/G248</f>
        <v>0.06391304347826086</v>
      </c>
      <c r="H246" s="44">
        <f t="shared" si="66"/>
        <v>0.13765013054830286</v>
      </c>
      <c r="I246" s="44">
        <f t="shared" si="66"/>
        <v>0.10501470588235294</v>
      </c>
      <c r="J246" s="44">
        <f t="shared" si="66"/>
        <v>0.04285714285714286</v>
      </c>
      <c r="K246" s="44">
        <f t="shared" si="66"/>
        <v>0.01875</v>
      </c>
      <c r="L246" s="44">
        <f t="shared" si="66"/>
        <v>0.054285714285714284</v>
      </c>
      <c r="M246" s="44">
        <f t="shared" si="66"/>
        <v>0.011111111111111112</v>
      </c>
      <c r="N246" s="44">
        <f t="shared" si="66"/>
        <v>0.005</v>
      </c>
      <c r="O246" s="44">
        <f t="shared" si="66"/>
        <v>0.024558333333333335</v>
      </c>
      <c r="P246" s="44">
        <f t="shared" si="66"/>
        <v>0.10306666666666667</v>
      </c>
      <c r="Q246" s="44">
        <f t="shared" si="66"/>
        <v>0.07264285714285713</v>
      </c>
      <c r="R246" s="44">
        <f t="shared" si="66"/>
        <v>0</v>
      </c>
      <c r="S246" s="44">
        <f t="shared" si="66"/>
        <v>0.08793333333333334</v>
      </c>
      <c r="T246" s="44">
        <f t="shared" si="66"/>
        <v>0.08055555555555555</v>
      </c>
      <c r="U246" s="144"/>
      <c r="V246" s="142"/>
      <c r="W246" s="142"/>
      <c r="X246" s="142"/>
    </row>
    <row r="247" spans="1:24" s="1" customFormat="1" ht="11.25" customHeight="1">
      <c r="A247" s="259" t="s">
        <v>62</v>
      </c>
      <c r="B247" s="260"/>
      <c r="C247" s="260"/>
      <c r="D247" s="261"/>
      <c r="E247" s="174"/>
      <c r="F247" s="39">
        <f aca="true" t="shared" si="67" ref="F247:T247">SUM(F227,F239,F245)</f>
        <v>59.001333333333335</v>
      </c>
      <c r="G247" s="38">
        <f t="shared" si="67"/>
        <v>58.775333333333336</v>
      </c>
      <c r="H247" s="38">
        <f t="shared" si="67"/>
        <v>272.28533333333337</v>
      </c>
      <c r="I247" s="38">
        <f t="shared" si="67"/>
        <v>1787.5446666666667</v>
      </c>
      <c r="J247" s="39">
        <f t="shared" si="67"/>
        <v>1.246</v>
      </c>
      <c r="K247" s="39">
        <f t="shared" si="67"/>
        <v>1.0883333333333334</v>
      </c>
      <c r="L247" s="38">
        <f t="shared" si="67"/>
        <v>45.88433333333334</v>
      </c>
      <c r="M247" s="39">
        <f t="shared" si="67"/>
        <v>12.362333333333334</v>
      </c>
      <c r="N247" s="39">
        <f t="shared" si="67"/>
        <v>9.35</v>
      </c>
      <c r="O247" s="38">
        <f t="shared" si="67"/>
        <v>708.4680000000001</v>
      </c>
      <c r="P247" s="38">
        <f t="shared" si="67"/>
        <v>1297.1333333333334</v>
      </c>
      <c r="Q247" s="39">
        <f t="shared" si="67"/>
        <v>5.9018</v>
      </c>
      <c r="R247" s="40">
        <f t="shared" si="67"/>
        <v>0.044991666666666666</v>
      </c>
      <c r="S247" s="39">
        <f t="shared" si="67"/>
        <v>309.87166666666667</v>
      </c>
      <c r="T247" s="39">
        <f t="shared" si="67"/>
        <v>11.356333333333332</v>
      </c>
      <c r="U247" s="42"/>
      <c r="V247" s="142"/>
      <c r="W247" s="142"/>
      <c r="X247" s="142"/>
    </row>
    <row r="248" spans="1:24" s="1" customFormat="1" ht="11.25" customHeight="1">
      <c r="A248" s="259" t="s">
        <v>64</v>
      </c>
      <c r="B248" s="260"/>
      <c r="C248" s="260"/>
      <c r="D248" s="261"/>
      <c r="E248" s="174"/>
      <c r="F248" s="148">
        <v>90</v>
      </c>
      <c r="G248" s="146">
        <v>92</v>
      </c>
      <c r="H248" s="146">
        <v>383</v>
      </c>
      <c r="I248" s="146">
        <v>2720</v>
      </c>
      <c r="J248" s="148">
        <v>1.4</v>
      </c>
      <c r="K248" s="148">
        <v>1.6</v>
      </c>
      <c r="L248" s="147">
        <v>70</v>
      </c>
      <c r="M248" s="148">
        <v>0.9</v>
      </c>
      <c r="N248" s="147">
        <v>12</v>
      </c>
      <c r="O248" s="147">
        <v>1200</v>
      </c>
      <c r="P248" s="147">
        <v>1200</v>
      </c>
      <c r="Q248" s="147">
        <v>14</v>
      </c>
      <c r="R248" s="146">
        <v>0.1</v>
      </c>
      <c r="S248" s="147">
        <v>300</v>
      </c>
      <c r="T248" s="148">
        <v>18</v>
      </c>
      <c r="U248" s="150"/>
      <c r="V248" s="151"/>
      <c r="W248" s="151"/>
      <c r="X248" s="151"/>
    </row>
    <row r="249" spans="1:24" s="1" customFormat="1" ht="11.25" customHeight="1">
      <c r="A249" s="229" t="s">
        <v>63</v>
      </c>
      <c r="B249" s="230"/>
      <c r="C249" s="230"/>
      <c r="D249" s="231"/>
      <c r="E249" s="181"/>
      <c r="F249" s="76">
        <f aca="true" t="shared" si="68" ref="F249:T249">F247/F248</f>
        <v>0.6555703703703704</v>
      </c>
      <c r="G249" s="44">
        <f t="shared" si="68"/>
        <v>0.6388623188405798</v>
      </c>
      <c r="H249" s="44">
        <f t="shared" si="68"/>
        <v>0.7109277632724109</v>
      </c>
      <c r="I249" s="44">
        <f t="shared" si="68"/>
        <v>0.6571855392156862</v>
      </c>
      <c r="J249" s="44">
        <f t="shared" si="68"/>
        <v>0.89</v>
      </c>
      <c r="K249" s="44">
        <f t="shared" si="68"/>
        <v>0.6802083333333333</v>
      </c>
      <c r="L249" s="44">
        <f t="shared" si="68"/>
        <v>0.6554904761904763</v>
      </c>
      <c r="M249" s="45">
        <f t="shared" si="68"/>
        <v>13.735925925925926</v>
      </c>
      <c r="N249" s="44">
        <f t="shared" si="68"/>
        <v>0.7791666666666667</v>
      </c>
      <c r="O249" s="44">
        <f t="shared" si="68"/>
        <v>0.5903900000000001</v>
      </c>
      <c r="P249" s="44">
        <f t="shared" si="68"/>
        <v>1.0809444444444445</v>
      </c>
      <c r="Q249" s="44">
        <f t="shared" si="68"/>
        <v>0.42155714285714285</v>
      </c>
      <c r="R249" s="45">
        <f t="shared" si="68"/>
        <v>0.44991666666666663</v>
      </c>
      <c r="S249" s="44">
        <f t="shared" si="68"/>
        <v>1.0329055555555555</v>
      </c>
      <c r="T249" s="45">
        <f t="shared" si="68"/>
        <v>0.6309074074074074</v>
      </c>
      <c r="U249" s="46"/>
      <c r="V249" s="47"/>
      <c r="W249" s="47"/>
      <c r="X249" s="47"/>
    </row>
    <row r="250" spans="1:24" s="1" customFormat="1" ht="11.25" customHeight="1">
      <c r="A250" s="262" t="s">
        <v>42</v>
      </c>
      <c r="B250" s="262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13"/>
      <c r="V250" s="25"/>
      <c r="W250" s="25"/>
      <c r="X250" s="25"/>
    </row>
    <row r="251" spans="1:24" s="1" customFormat="1" ht="11.25" customHeight="1">
      <c r="A251" s="58" t="s">
        <v>56</v>
      </c>
      <c r="B251" s="54"/>
      <c r="C251" s="54"/>
      <c r="D251" s="2"/>
      <c r="E251" s="2"/>
      <c r="F251" s="34"/>
      <c r="G251" s="240" t="s">
        <v>35</v>
      </c>
      <c r="H251" s="240"/>
      <c r="I251" s="240"/>
      <c r="J251" s="71"/>
      <c r="K251" s="71"/>
      <c r="L251" s="247" t="s">
        <v>2</v>
      </c>
      <c r="M251" s="247"/>
      <c r="N251" s="256"/>
      <c r="O251" s="256"/>
      <c r="P251" s="256"/>
      <c r="Q251" s="256"/>
      <c r="R251" s="71"/>
      <c r="S251" s="71"/>
      <c r="T251" s="71"/>
      <c r="U251" s="14"/>
      <c r="V251" s="20"/>
      <c r="W251" s="20"/>
      <c r="X251" s="20"/>
    </row>
    <row r="252" spans="1:24" s="1" customFormat="1" ht="11.25" customHeight="1">
      <c r="A252" s="54"/>
      <c r="B252" s="54"/>
      <c r="C252" s="54"/>
      <c r="D252" s="235" t="s">
        <v>3</v>
      </c>
      <c r="E252" s="235"/>
      <c r="F252" s="235"/>
      <c r="G252" s="7">
        <v>2</v>
      </c>
      <c r="H252" s="71"/>
      <c r="I252" s="2"/>
      <c r="J252" s="2"/>
      <c r="K252" s="2"/>
      <c r="L252" s="235" t="s">
        <v>4</v>
      </c>
      <c r="M252" s="235"/>
      <c r="N252" s="239" t="s">
        <v>57</v>
      </c>
      <c r="O252" s="239"/>
      <c r="P252" s="239"/>
      <c r="Q252" s="239"/>
      <c r="R252" s="239"/>
      <c r="S252" s="239"/>
      <c r="T252" s="239"/>
      <c r="U252" s="15"/>
      <c r="V252" s="21"/>
      <c r="W252" s="21"/>
      <c r="X252" s="21"/>
    </row>
    <row r="253" spans="1:24" s="1" customFormat="1" ht="21.75" customHeight="1">
      <c r="A253" s="241" t="s">
        <v>5</v>
      </c>
      <c r="B253" s="243" t="s">
        <v>6</v>
      </c>
      <c r="C253" s="244"/>
      <c r="D253" s="241" t="s">
        <v>7</v>
      </c>
      <c r="E253" s="183"/>
      <c r="F253" s="248" t="s">
        <v>8</v>
      </c>
      <c r="G253" s="249"/>
      <c r="H253" s="250"/>
      <c r="I253" s="241" t="s">
        <v>9</v>
      </c>
      <c r="J253" s="248" t="s">
        <v>10</v>
      </c>
      <c r="K253" s="249"/>
      <c r="L253" s="249"/>
      <c r="M253" s="249"/>
      <c r="N253" s="250"/>
      <c r="O253" s="248" t="s">
        <v>11</v>
      </c>
      <c r="P253" s="249"/>
      <c r="Q253" s="249"/>
      <c r="R253" s="249"/>
      <c r="S253" s="249"/>
      <c r="T253" s="250"/>
      <c r="U253" s="9"/>
      <c r="V253" s="22"/>
      <c r="W253" s="22"/>
      <c r="X253" s="22"/>
    </row>
    <row r="254" spans="1:24" s="1" customFormat="1" ht="21" customHeight="1">
      <c r="A254" s="242"/>
      <c r="B254" s="245"/>
      <c r="C254" s="246"/>
      <c r="D254" s="242"/>
      <c r="E254" s="176"/>
      <c r="F254" s="100" t="s">
        <v>12</v>
      </c>
      <c r="G254" s="177" t="s">
        <v>13</v>
      </c>
      <c r="H254" s="177" t="s">
        <v>14</v>
      </c>
      <c r="I254" s="242"/>
      <c r="J254" s="177" t="s">
        <v>15</v>
      </c>
      <c r="K254" s="177" t="s">
        <v>58</v>
      </c>
      <c r="L254" s="177" t="s">
        <v>16</v>
      </c>
      <c r="M254" s="177" t="s">
        <v>17</v>
      </c>
      <c r="N254" s="177" t="s">
        <v>18</v>
      </c>
      <c r="O254" s="177" t="s">
        <v>19</v>
      </c>
      <c r="P254" s="177" t="s">
        <v>20</v>
      </c>
      <c r="Q254" s="177" t="s">
        <v>59</v>
      </c>
      <c r="R254" s="177" t="s">
        <v>60</v>
      </c>
      <c r="S254" s="177" t="s">
        <v>21</v>
      </c>
      <c r="T254" s="177" t="s">
        <v>22</v>
      </c>
      <c r="U254" s="9"/>
      <c r="V254" s="22"/>
      <c r="W254" s="22"/>
      <c r="X254" s="22"/>
    </row>
    <row r="255" spans="1:24" s="1" customFormat="1" ht="11.25" customHeight="1">
      <c r="A255" s="182">
        <v>1</v>
      </c>
      <c r="B255" s="257">
        <v>2</v>
      </c>
      <c r="C255" s="258"/>
      <c r="D255" s="37">
        <v>3</v>
      </c>
      <c r="E255" s="37"/>
      <c r="F255" s="101">
        <v>4</v>
      </c>
      <c r="G255" s="37">
        <v>5</v>
      </c>
      <c r="H255" s="37">
        <v>6</v>
      </c>
      <c r="I255" s="37">
        <v>7</v>
      </c>
      <c r="J255" s="37">
        <v>8</v>
      </c>
      <c r="K255" s="37">
        <v>9</v>
      </c>
      <c r="L255" s="37">
        <v>10</v>
      </c>
      <c r="M255" s="37">
        <v>11</v>
      </c>
      <c r="N255" s="37">
        <v>12</v>
      </c>
      <c r="O255" s="37">
        <v>13</v>
      </c>
      <c r="P255" s="37">
        <v>14</v>
      </c>
      <c r="Q255" s="37">
        <v>15</v>
      </c>
      <c r="R255" s="37">
        <v>16</v>
      </c>
      <c r="S255" s="37">
        <v>17</v>
      </c>
      <c r="T255" s="37">
        <v>18</v>
      </c>
      <c r="U255" s="10"/>
      <c r="V255" s="23"/>
      <c r="W255" s="23"/>
      <c r="X255" s="23"/>
    </row>
    <row r="256" spans="1:24" s="1" customFormat="1" ht="11.25" customHeight="1">
      <c r="A256" s="232" t="s">
        <v>23</v>
      </c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4"/>
      <c r="U256" s="11"/>
      <c r="V256" s="24"/>
      <c r="W256" s="24"/>
      <c r="X256" s="24"/>
    </row>
    <row r="257" spans="1:24" s="1" customFormat="1" ht="21.75" customHeight="1">
      <c r="A257" s="182">
        <v>71</v>
      </c>
      <c r="B257" s="221" t="s">
        <v>117</v>
      </c>
      <c r="C257" s="222"/>
      <c r="D257" s="145">
        <v>40</v>
      </c>
      <c r="E257" s="145">
        <v>9.22</v>
      </c>
      <c r="F257" s="148">
        <f>0.33*D257/30</f>
        <v>0.44000000000000006</v>
      </c>
      <c r="G257" s="148">
        <f>0.08*D257/40</f>
        <v>0.08</v>
      </c>
      <c r="H257" s="148">
        <f>3.8*D257/100</f>
        <v>1.52</v>
      </c>
      <c r="I257" s="148">
        <f>F257*4+G257*9+H257*4</f>
        <v>8.56</v>
      </c>
      <c r="J257" s="149">
        <f>0.027*D257/40</f>
        <v>0.027000000000000003</v>
      </c>
      <c r="K257" s="149">
        <f>0.032*D257/40</f>
        <v>0.032</v>
      </c>
      <c r="L257" s="148">
        <f>9.733*D257/40</f>
        <v>9.733</v>
      </c>
      <c r="M257" s="148">
        <f>0.36*D257/40</f>
        <v>0.36</v>
      </c>
      <c r="N257" s="145">
        <f>1.88*D257/40</f>
        <v>1.8799999999999997</v>
      </c>
      <c r="O257" s="146">
        <f>24.4*D257/40</f>
        <v>24.4</v>
      </c>
      <c r="P257" s="146">
        <f>30.36*D257/40</f>
        <v>30.360000000000003</v>
      </c>
      <c r="Q257" s="148">
        <f>0.28*D257/40</f>
        <v>0.28</v>
      </c>
      <c r="R257" s="149">
        <f>0.005*D257/40</f>
        <v>0.005</v>
      </c>
      <c r="S257" s="148">
        <f>10.2*D257/40</f>
        <v>10.2</v>
      </c>
      <c r="T257" s="148">
        <f>0.4*D257/40</f>
        <v>0.4</v>
      </c>
      <c r="U257" s="150"/>
      <c r="V257" s="151"/>
      <c r="W257" s="151"/>
      <c r="X257" s="151"/>
    </row>
    <row r="258" spans="1:24" s="140" customFormat="1" ht="11.25" customHeight="1">
      <c r="A258" s="182">
        <v>291</v>
      </c>
      <c r="B258" s="221" t="s">
        <v>50</v>
      </c>
      <c r="C258" s="222"/>
      <c r="D258" s="147">
        <v>240</v>
      </c>
      <c r="E258" s="148">
        <v>45.63</v>
      </c>
      <c r="F258" s="148">
        <v>22.35</v>
      </c>
      <c r="G258" s="148">
        <v>26.13</v>
      </c>
      <c r="H258" s="148">
        <v>47.232</v>
      </c>
      <c r="I258" s="148">
        <v>513.57</v>
      </c>
      <c r="J258" s="148">
        <v>0.81</v>
      </c>
      <c r="K258" s="148">
        <v>0.79</v>
      </c>
      <c r="L258" s="148">
        <v>4.29</v>
      </c>
      <c r="M258" s="148">
        <v>0.46</v>
      </c>
      <c r="N258" s="145">
        <v>0</v>
      </c>
      <c r="O258" s="148">
        <v>44.29</v>
      </c>
      <c r="P258" s="148">
        <v>301.65</v>
      </c>
      <c r="Q258" s="147">
        <v>0</v>
      </c>
      <c r="R258" s="147">
        <v>0</v>
      </c>
      <c r="S258" s="148">
        <v>64.39</v>
      </c>
      <c r="T258" s="148">
        <v>2.77</v>
      </c>
      <c r="U258" s="150"/>
      <c r="V258" s="151"/>
      <c r="W258" s="151"/>
      <c r="X258" s="151"/>
    </row>
    <row r="259" spans="1:24" s="140" customFormat="1" ht="12.75" customHeight="1">
      <c r="A259" s="182">
        <v>379</v>
      </c>
      <c r="B259" s="221" t="s">
        <v>52</v>
      </c>
      <c r="C259" s="222"/>
      <c r="D259" s="147">
        <v>200</v>
      </c>
      <c r="E259" s="148">
        <v>12.05</v>
      </c>
      <c r="F259" s="148">
        <v>3.17</v>
      </c>
      <c r="G259" s="148">
        <v>2.68</v>
      </c>
      <c r="H259" s="148">
        <v>15.95</v>
      </c>
      <c r="I259" s="148">
        <f>F259*4+G259*9+H259*4</f>
        <v>100.6</v>
      </c>
      <c r="J259" s="148">
        <v>0.04</v>
      </c>
      <c r="K259" s="148">
        <v>0.15</v>
      </c>
      <c r="L259" s="148">
        <v>1.3</v>
      </c>
      <c r="M259" s="149">
        <v>0.03</v>
      </c>
      <c r="N259" s="145">
        <v>0.06</v>
      </c>
      <c r="O259" s="148">
        <v>120.4</v>
      </c>
      <c r="P259" s="146">
        <v>90</v>
      </c>
      <c r="Q259" s="148">
        <v>1.1</v>
      </c>
      <c r="R259" s="149">
        <v>0.01</v>
      </c>
      <c r="S259" s="148">
        <v>14</v>
      </c>
      <c r="T259" s="148">
        <v>0.12</v>
      </c>
      <c r="U259" s="150"/>
      <c r="V259" s="151"/>
      <c r="W259" s="151"/>
      <c r="X259" s="151"/>
    </row>
    <row r="260" spans="1:24" s="140" customFormat="1" ht="11.25" customHeight="1">
      <c r="A260" s="153" t="s">
        <v>67</v>
      </c>
      <c r="B260" s="221" t="s">
        <v>53</v>
      </c>
      <c r="C260" s="222"/>
      <c r="D260" s="147">
        <v>40</v>
      </c>
      <c r="E260" s="148">
        <v>3.1</v>
      </c>
      <c r="F260" s="148">
        <f>1.52*D260/30</f>
        <v>2.0266666666666664</v>
      </c>
      <c r="G260" s="149">
        <f>0.16*D260/30</f>
        <v>0.21333333333333335</v>
      </c>
      <c r="H260" s="149">
        <f>9.84*D260/30</f>
        <v>13.120000000000001</v>
      </c>
      <c r="I260" s="149">
        <f>F260*4+G260*9+H260*4</f>
        <v>62.50666666666667</v>
      </c>
      <c r="J260" s="149">
        <f>0.02*D260/30</f>
        <v>0.02666666666666667</v>
      </c>
      <c r="K260" s="149">
        <f>0.01*D260/30</f>
        <v>0.013333333333333334</v>
      </c>
      <c r="L260" s="149">
        <f>0.44*D260/30</f>
        <v>0.5866666666666667</v>
      </c>
      <c r="M260" s="149">
        <v>0</v>
      </c>
      <c r="N260" s="149">
        <f>0.7*D260/30</f>
        <v>0.9333333333333333</v>
      </c>
      <c r="O260" s="149">
        <f>4*D260/30</f>
        <v>5.333333333333333</v>
      </c>
      <c r="P260" s="149">
        <f>13*D260/30</f>
        <v>17.333333333333332</v>
      </c>
      <c r="Q260" s="149">
        <f>0.008*D260/30</f>
        <v>0.010666666666666666</v>
      </c>
      <c r="R260" s="149">
        <f>0.001*D260/30</f>
        <v>0.0013333333333333333</v>
      </c>
      <c r="S260" s="149">
        <v>0</v>
      </c>
      <c r="T260" s="149">
        <f>0.22*D260/30</f>
        <v>0.29333333333333333</v>
      </c>
      <c r="U260" s="150"/>
      <c r="V260" s="151"/>
      <c r="W260" s="151"/>
      <c r="X260" s="151"/>
    </row>
    <row r="261" spans="1:24" s="140" customFormat="1" ht="11.25" customHeight="1">
      <c r="A261" s="63" t="s">
        <v>25</v>
      </c>
      <c r="B261" s="64"/>
      <c r="C261" s="64"/>
      <c r="D261" s="65">
        <f aca="true" t="shared" si="69" ref="D261:I261">SUM(D257:D260)</f>
        <v>520</v>
      </c>
      <c r="E261" s="154">
        <f t="shared" si="69"/>
        <v>70</v>
      </c>
      <c r="F261" s="39">
        <f t="shared" si="69"/>
        <v>27.986666666666668</v>
      </c>
      <c r="G261" s="39">
        <f t="shared" si="69"/>
        <v>29.10333333333333</v>
      </c>
      <c r="H261" s="39">
        <f t="shared" si="69"/>
        <v>77.822</v>
      </c>
      <c r="I261" s="39">
        <f t="shared" si="69"/>
        <v>685.2366666666667</v>
      </c>
      <c r="J261" s="39">
        <f aca="true" t="shared" si="70" ref="J261:T261">SUM(J257:J260)</f>
        <v>0.9036666666666667</v>
      </c>
      <c r="K261" s="39">
        <f t="shared" si="70"/>
        <v>0.9853333333333334</v>
      </c>
      <c r="L261" s="39">
        <f t="shared" si="70"/>
        <v>15.909666666666666</v>
      </c>
      <c r="M261" s="39">
        <f t="shared" si="70"/>
        <v>0.8500000000000001</v>
      </c>
      <c r="N261" s="39">
        <f t="shared" si="70"/>
        <v>2.873333333333333</v>
      </c>
      <c r="O261" s="38">
        <f t="shared" si="70"/>
        <v>194.42333333333335</v>
      </c>
      <c r="P261" s="39">
        <f t="shared" si="70"/>
        <v>439.3433333333333</v>
      </c>
      <c r="Q261" s="39">
        <f t="shared" si="70"/>
        <v>1.3906666666666667</v>
      </c>
      <c r="R261" s="39">
        <f t="shared" si="70"/>
        <v>0.01633333333333333</v>
      </c>
      <c r="S261" s="39">
        <f t="shared" si="70"/>
        <v>88.59</v>
      </c>
      <c r="T261" s="39">
        <f t="shared" si="70"/>
        <v>3.5833333333333335</v>
      </c>
      <c r="U261" s="38"/>
      <c r="V261" s="142"/>
      <c r="W261" s="142"/>
      <c r="X261" s="142"/>
    </row>
    <row r="262" spans="1:24" s="140" customFormat="1" ht="11.25" customHeight="1">
      <c r="A262" s="229" t="s">
        <v>63</v>
      </c>
      <c r="B262" s="230"/>
      <c r="C262" s="230"/>
      <c r="D262" s="231"/>
      <c r="E262" s="180"/>
      <c r="F262" s="155">
        <f aca="true" t="shared" si="71" ref="F262:T262">F261/F280</f>
        <v>0.310962962962963</v>
      </c>
      <c r="G262" s="44">
        <f t="shared" si="71"/>
        <v>0.3163405797101449</v>
      </c>
      <c r="H262" s="44">
        <f t="shared" si="71"/>
        <v>0.20319060052219323</v>
      </c>
      <c r="I262" s="44">
        <f t="shared" si="71"/>
        <v>0.2519252450980392</v>
      </c>
      <c r="J262" s="44">
        <f t="shared" si="71"/>
        <v>0.6454761904761905</v>
      </c>
      <c r="K262" s="44">
        <f t="shared" si="71"/>
        <v>0.6158333333333333</v>
      </c>
      <c r="L262" s="44">
        <f t="shared" si="71"/>
        <v>0.2272809523809524</v>
      </c>
      <c r="M262" s="44">
        <f t="shared" si="71"/>
        <v>0.9444444444444445</v>
      </c>
      <c r="N262" s="44">
        <f t="shared" si="71"/>
        <v>0.23944444444444443</v>
      </c>
      <c r="O262" s="44">
        <f t="shared" si="71"/>
        <v>0.16201944444444447</v>
      </c>
      <c r="P262" s="44">
        <f t="shared" si="71"/>
        <v>0.36611944444444444</v>
      </c>
      <c r="Q262" s="44">
        <f t="shared" si="71"/>
        <v>0.09933333333333334</v>
      </c>
      <c r="R262" s="44">
        <f t="shared" si="71"/>
        <v>0.1633333333333333</v>
      </c>
      <c r="S262" s="44">
        <f t="shared" si="71"/>
        <v>0.2953</v>
      </c>
      <c r="T262" s="44">
        <f t="shared" si="71"/>
        <v>0.19907407407407407</v>
      </c>
      <c r="U262" s="144"/>
      <c r="V262" s="142"/>
      <c r="W262" s="142"/>
      <c r="X262" s="142"/>
    </row>
    <row r="263" spans="1:24" s="140" customFormat="1" ht="11.25" customHeight="1">
      <c r="A263" s="236" t="s">
        <v>28</v>
      </c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8"/>
      <c r="U263" s="16"/>
      <c r="V263" s="26"/>
      <c r="W263" s="26"/>
      <c r="X263" s="26"/>
    </row>
    <row r="264" spans="1:24" s="140" customFormat="1" ht="11.25" customHeight="1">
      <c r="A264" s="66">
        <v>67</v>
      </c>
      <c r="B264" s="287" t="s">
        <v>84</v>
      </c>
      <c r="C264" s="288"/>
      <c r="D264" s="98">
        <v>100</v>
      </c>
      <c r="E264" s="98">
        <v>11.06</v>
      </c>
      <c r="F264" s="108">
        <f>1.5*D264/60</f>
        <v>2.5</v>
      </c>
      <c r="G264" s="108">
        <f>3.47*D264/60</f>
        <v>5.783333333333333</v>
      </c>
      <c r="H264" s="99">
        <v>11.28</v>
      </c>
      <c r="I264" s="148">
        <v>107.18</v>
      </c>
      <c r="J264" s="108">
        <f>0.04*D264/60</f>
        <v>0.06666666666666667</v>
      </c>
      <c r="K264" s="66">
        <f>0.03*D264/60</f>
        <v>0.05</v>
      </c>
      <c r="L264" s="108">
        <f>8.6*D264/60</f>
        <v>14.333333333333334</v>
      </c>
      <c r="M264" s="108">
        <f>0.74*D264/60</f>
        <v>1.2333333333333334</v>
      </c>
      <c r="N264" s="108">
        <f>0.2*D264/60</f>
        <v>0.3333333333333333</v>
      </c>
      <c r="O264" s="99">
        <f>23.39*D264/60</f>
        <v>38.983333333333334</v>
      </c>
      <c r="P264" s="99">
        <f>34.04*D264/60</f>
        <v>56.733333333333334</v>
      </c>
      <c r="Q264" s="108">
        <f>0.01*D264/60</f>
        <v>0.016666666666666666</v>
      </c>
      <c r="R264" s="108">
        <f>0.04*D264/60</f>
        <v>0.06666666666666667</v>
      </c>
      <c r="S264" s="108">
        <f>15.61*D264/60</f>
        <v>26.016666666666666</v>
      </c>
      <c r="T264" s="108">
        <f>0.7*D264/60</f>
        <v>1.1666666666666667</v>
      </c>
      <c r="U264" s="16"/>
      <c r="V264" s="26"/>
      <c r="W264" s="26"/>
      <c r="X264" s="26"/>
    </row>
    <row r="265" spans="1:24" s="140" customFormat="1" ht="23.25" customHeight="1">
      <c r="A265" s="182">
        <v>88</v>
      </c>
      <c r="B265" s="270" t="s">
        <v>110</v>
      </c>
      <c r="C265" s="271"/>
      <c r="D265" s="145">
        <v>250</v>
      </c>
      <c r="E265" s="145">
        <v>14.81</v>
      </c>
      <c r="F265" s="148">
        <v>2.44</v>
      </c>
      <c r="G265" s="148">
        <v>6.41</v>
      </c>
      <c r="H265" s="148">
        <v>11.11</v>
      </c>
      <c r="I265" s="148">
        <f>F265*4+G265*9+H265*4</f>
        <v>111.89</v>
      </c>
      <c r="J265" s="148">
        <v>0.03</v>
      </c>
      <c r="K265" s="148">
        <v>0.03</v>
      </c>
      <c r="L265" s="148">
        <v>11.39</v>
      </c>
      <c r="M265" s="148">
        <v>0.05</v>
      </c>
      <c r="N265" s="148">
        <v>0.099</v>
      </c>
      <c r="O265" s="148">
        <v>45.49</v>
      </c>
      <c r="P265" s="148">
        <v>29.96</v>
      </c>
      <c r="Q265" s="148">
        <v>1.44</v>
      </c>
      <c r="R265" s="149">
        <v>0.002</v>
      </c>
      <c r="S265" s="148">
        <v>15.35</v>
      </c>
      <c r="T265" s="148">
        <v>0.49</v>
      </c>
      <c r="U265" s="11"/>
      <c r="V265" s="24"/>
      <c r="W265" s="24"/>
      <c r="X265" s="24"/>
    </row>
    <row r="266" spans="1:24" s="140" customFormat="1" ht="12.75" customHeight="1">
      <c r="A266" s="182">
        <v>293</v>
      </c>
      <c r="B266" s="221" t="s">
        <v>108</v>
      </c>
      <c r="C266" s="222"/>
      <c r="D266" s="147">
        <v>120</v>
      </c>
      <c r="E266" s="148">
        <v>45.87</v>
      </c>
      <c r="F266" s="148">
        <v>33.09</v>
      </c>
      <c r="G266" s="148">
        <v>27.34</v>
      </c>
      <c r="H266" s="148">
        <v>8.82</v>
      </c>
      <c r="I266" s="148">
        <v>414.37</v>
      </c>
      <c r="J266" s="148">
        <v>0.09</v>
      </c>
      <c r="K266" s="148">
        <v>0</v>
      </c>
      <c r="L266" s="148">
        <v>0.045</v>
      </c>
      <c r="M266" s="147">
        <v>80.62</v>
      </c>
      <c r="N266" s="145">
        <v>0</v>
      </c>
      <c r="O266" s="146">
        <v>102.19</v>
      </c>
      <c r="P266" s="148">
        <v>249.19</v>
      </c>
      <c r="Q266" s="147">
        <v>0</v>
      </c>
      <c r="R266" s="147">
        <v>0</v>
      </c>
      <c r="S266" s="148">
        <v>38.07</v>
      </c>
      <c r="T266" s="148">
        <v>3.04</v>
      </c>
      <c r="U266" s="150"/>
      <c r="V266" s="151"/>
      <c r="W266" s="151"/>
      <c r="X266" s="151"/>
    </row>
    <row r="267" spans="1:24" s="140" customFormat="1" ht="24" customHeight="1">
      <c r="A267" s="182">
        <v>203</v>
      </c>
      <c r="B267" s="221" t="s">
        <v>81</v>
      </c>
      <c r="C267" s="222"/>
      <c r="D267" s="147">
        <v>180</v>
      </c>
      <c r="E267" s="148">
        <v>8.37</v>
      </c>
      <c r="F267" s="148">
        <f>5.7*D267/150</f>
        <v>6.84</v>
      </c>
      <c r="G267" s="148">
        <f>3.43*D267/150</f>
        <v>4.116</v>
      </c>
      <c r="H267" s="148">
        <f>36.45*D267/150</f>
        <v>43.74000000000001</v>
      </c>
      <c r="I267" s="148">
        <f>F267*4+G267*9+H267*4</f>
        <v>239.36400000000003</v>
      </c>
      <c r="J267" s="148">
        <f>0.09*D267/150</f>
        <v>0.108</v>
      </c>
      <c r="K267" s="148">
        <f>0.03*D267/150</f>
        <v>0.036</v>
      </c>
      <c r="L267" s="148">
        <v>0</v>
      </c>
      <c r="M267" s="149">
        <f>0.03*D267/150</f>
        <v>0.036</v>
      </c>
      <c r="N267" s="148">
        <f>1.25*D267/150</f>
        <v>1.5</v>
      </c>
      <c r="O267" s="148">
        <f>13.28*D267/150</f>
        <v>15.936</v>
      </c>
      <c r="P267" s="148">
        <f>46.21*D267/150</f>
        <v>55.452</v>
      </c>
      <c r="Q267" s="148">
        <f>0.78*D267/150</f>
        <v>0.936</v>
      </c>
      <c r="R267" s="149">
        <f>0.0015*D267/150</f>
        <v>0.0018000000000000002</v>
      </c>
      <c r="S267" s="148">
        <f>8.47*D267/150</f>
        <v>10.164000000000001</v>
      </c>
      <c r="T267" s="148">
        <f>0.86*D267/150</f>
        <v>1.032</v>
      </c>
      <c r="U267" s="150"/>
      <c r="V267" s="151"/>
      <c r="W267" s="151"/>
      <c r="X267" s="151"/>
    </row>
    <row r="268" spans="1:24" s="140" customFormat="1" ht="12" customHeight="1">
      <c r="A268" s="133">
        <v>699</v>
      </c>
      <c r="B268" s="275" t="s">
        <v>103</v>
      </c>
      <c r="C268" s="275"/>
      <c r="D268" s="137">
        <v>200</v>
      </c>
      <c r="E268" s="128">
        <v>4.75</v>
      </c>
      <c r="F268" s="128">
        <v>0.1</v>
      </c>
      <c r="G268" s="128">
        <v>0</v>
      </c>
      <c r="H268" s="128">
        <v>15.7</v>
      </c>
      <c r="I268" s="128">
        <v>63.2</v>
      </c>
      <c r="J268" s="128">
        <v>0.018</v>
      </c>
      <c r="K268" s="128">
        <v>0.012</v>
      </c>
      <c r="L268" s="128">
        <v>8</v>
      </c>
      <c r="M268" s="128">
        <v>0</v>
      </c>
      <c r="N268" s="128">
        <v>0.2</v>
      </c>
      <c r="O268" s="128">
        <v>10.8</v>
      </c>
      <c r="P268" s="128">
        <v>1.7</v>
      </c>
      <c r="Q268" s="128">
        <v>0</v>
      </c>
      <c r="R268" s="128">
        <v>0</v>
      </c>
      <c r="S268" s="128">
        <v>5.8</v>
      </c>
      <c r="T268" s="128">
        <v>1.6</v>
      </c>
      <c r="U268" s="150"/>
      <c r="V268" s="151"/>
      <c r="W268" s="151"/>
      <c r="X268" s="151"/>
    </row>
    <row r="269" spans="1:24" s="140" customFormat="1" ht="11.25" customHeight="1">
      <c r="A269" s="78" t="s">
        <v>67</v>
      </c>
      <c r="B269" s="221" t="s">
        <v>46</v>
      </c>
      <c r="C269" s="222"/>
      <c r="D269" s="147">
        <v>40</v>
      </c>
      <c r="E269" s="148">
        <v>2.04</v>
      </c>
      <c r="F269" s="148">
        <f>2.64*D269/40</f>
        <v>2.64</v>
      </c>
      <c r="G269" s="148">
        <f>0.48*D269/40</f>
        <v>0.48</v>
      </c>
      <c r="H269" s="148">
        <f>13.68*D269/40</f>
        <v>13.680000000000001</v>
      </c>
      <c r="I269" s="146">
        <f>F269*4+G269*9+H269*4</f>
        <v>69.60000000000001</v>
      </c>
      <c r="J269" s="145">
        <f>0.08*D269/40</f>
        <v>0.08</v>
      </c>
      <c r="K269" s="148">
        <f>0.04*D269/40</f>
        <v>0.04</v>
      </c>
      <c r="L269" s="147">
        <v>0</v>
      </c>
      <c r="M269" s="147">
        <v>0</v>
      </c>
      <c r="N269" s="148">
        <f>2.4*D269/40</f>
        <v>2.4</v>
      </c>
      <c r="O269" s="148">
        <f>14*D269/40</f>
        <v>14</v>
      </c>
      <c r="P269" s="148">
        <f>63.2*D269/40</f>
        <v>63.2</v>
      </c>
      <c r="Q269" s="148">
        <f>1.2*D269/40</f>
        <v>1.2</v>
      </c>
      <c r="R269" s="149">
        <f>0.001*D269/40</f>
        <v>0.001</v>
      </c>
      <c r="S269" s="148">
        <f>9.4*D269/40</f>
        <v>9.4</v>
      </c>
      <c r="T269" s="145">
        <f>0.78*D269/40</f>
        <v>0.78</v>
      </c>
      <c r="U269" s="30"/>
      <c r="V269" s="31"/>
      <c r="W269" s="31"/>
      <c r="X269" s="31"/>
    </row>
    <row r="270" spans="1:24" s="140" customFormat="1" ht="11.25" customHeight="1">
      <c r="A270" s="153" t="s">
        <v>67</v>
      </c>
      <c r="B270" s="221" t="s">
        <v>53</v>
      </c>
      <c r="C270" s="222"/>
      <c r="D270" s="147">
        <v>40</v>
      </c>
      <c r="E270" s="148">
        <v>3.1</v>
      </c>
      <c r="F270" s="148">
        <f>1.52*D270/30</f>
        <v>2.0266666666666664</v>
      </c>
      <c r="G270" s="149">
        <f>0.16*D270/30</f>
        <v>0.21333333333333335</v>
      </c>
      <c r="H270" s="149">
        <f>9.84*D270/30</f>
        <v>13.120000000000001</v>
      </c>
      <c r="I270" s="149">
        <f>F270*4+G270*9+H270*4</f>
        <v>62.50666666666667</v>
      </c>
      <c r="J270" s="149">
        <f>0.02*D270/30</f>
        <v>0.02666666666666667</v>
      </c>
      <c r="K270" s="149">
        <f>0.01*D270/30</f>
        <v>0.013333333333333334</v>
      </c>
      <c r="L270" s="149">
        <f>0.44*D270/30</f>
        <v>0.5866666666666667</v>
      </c>
      <c r="M270" s="149">
        <v>0</v>
      </c>
      <c r="N270" s="149">
        <f>0.7*D270/30</f>
        <v>0.9333333333333333</v>
      </c>
      <c r="O270" s="149">
        <f>4*D270/30</f>
        <v>5.333333333333333</v>
      </c>
      <c r="P270" s="149">
        <f>13*D270/30</f>
        <v>17.333333333333332</v>
      </c>
      <c r="Q270" s="149">
        <f>0.008*D270/30</f>
        <v>0.010666666666666666</v>
      </c>
      <c r="R270" s="149">
        <f>0.001*D270/30</f>
        <v>0.0013333333333333333</v>
      </c>
      <c r="S270" s="149">
        <v>0</v>
      </c>
      <c r="T270" s="149">
        <f>0.22*D270/30</f>
        <v>0.29333333333333333</v>
      </c>
      <c r="U270" s="150"/>
      <c r="V270" s="151"/>
      <c r="W270" s="151"/>
      <c r="X270" s="151"/>
    </row>
    <row r="271" spans="1:24" s="140" customFormat="1" ht="11.25" customHeight="1">
      <c r="A271" s="61" t="s">
        <v>29</v>
      </c>
      <c r="B271" s="62"/>
      <c r="C271" s="62"/>
      <c r="D271" s="60">
        <f aca="true" t="shared" si="72" ref="D271:T271">SUM(D264:D270)</f>
        <v>930</v>
      </c>
      <c r="E271" s="154">
        <f t="shared" si="72"/>
        <v>90</v>
      </c>
      <c r="F271" s="39">
        <f t="shared" si="72"/>
        <v>49.63666666666667</v>
      </c>
      <c r="G271" s="38">
        <f t="shared" si="72"/>
        <v>44.34266666666666</v>
      </c>
      <c r="H271" s="38">
        <f t="shared" si="72"/>
        <v>117.45000000000003</v>
      </c>
      <c r="I271" s="38">
        <f t="shared" si="72"/>
        <v>1068.110666666667</v>
      </c>
      <c r="J271" s="38">
        <f t="shared" si="72"/>
        <v>0.41933333333333334</v>
      </c>
      <c r="K271" s="38">
        <f t="shared" si="72"/>
        <v>0.18133333333333335</v>
      </c>
      <c r="L271" s="38">
        <f t="shared" si="72"/>
        <v>34.355000000000004</v>
      </c>
      <c r="M271" s="38">
        <f t="shared" si="72"/>
        <v>81.93933333333334</v>
      </c>
      <c r="N271" s="38">
        <f t="shared" si="72"/>
        <v>5.465666666666667</v>
      </c>
      <c r="O271" s="38">
        <f t="shared" si="72"/>
        <v>232.7326666666667</v>
      </c>
      <c r="P271" s="38">
        <f t="shared" si="72"/>
        <v>473.5686666666666</v>
      </c>
      <c r="Q271" s="38">
        <f t="shared" si="72"/>
        <v>3.603333333333333</v>
      </c>
      <c r="R271" s="38">
        <f t="shared" si="72"/>
        <v>0.0728</v>
      </c>
      <c r="S271" s="38">
        <f t="shared" si="72"/>
        <v>104.80066666666667</v>
      </c>
      <c r="T271" s="38">
        <f t="shared" si="72"/>
        <v>8.402</v>
      </c>
      <c r="U271" s="38"/>
      <c r="V271" s="142"/>
      <c r="W271" s="142"/>
      <c r="X271" s="142"/>
    </row>
    <row r="272" spans="1:24" s="140" customFormat="1" ht="11.25" customHeight="1">
      <c r="A272" s="229" t="s">
        <v>63</v>
      </c>
      <c r="B272" s="230"/>
      <c r="C272" s="230"/>
      <c r="D272" s="231"/>
      <c r="E272" s="180"/>
      <c r="F272" s="155">
        <f aca="true" t="shared" si="73" ref="F272:T272">F271/F280</f>
        <v>0.5515185185185185</v>
      </c>
      <c r="G272" s="44">
        <f t="shared" si="73"/>
        <v>0.48198550724637673</v>
      </c>
      <c r="H272" s="44">
        <f t="shared" si="73"/>
        <v>0.3066579634464753</v>
      </c>
      <c r="I272" s="44">
        <f t="shared" si="73"/>
        <v>0.39268774509803933</v>
      </c>
      <c r="J272" s="44">
        <f t="shared" si="73"/>
        <v>0.2995238095238095</v>
      </c>
      <c r="K272" s="44">
        <f t="shared" si="73"/>
        <v>0.11333333333333334</v>
      </c>
      <c r="L272" s="44">
        <f t="shared" si="73"/>
        <v>0.4907857142857143</v>
      </c>
      <c r="M272" s="44">
        <f t="shared" si="73"/>
        <v>91.04370370370371</v>
      </c>
      <c r="N272" s="44">
        <f t="shared" si="73"/>
        <v>0.4554722222222223</v>
      </c>
      <c r="O272" s="44">
        <f t="shared" si="73"/>
        <v>0.19394388888888892</v>
      </c>
      <c r="P272" s="44">
        <f t="shared" si="73"/>
        <v>0.3946405555555555</v>
      </c>
      <c r="Q272" s="44">
        <f t="shared" si="73"/>
        <v>0.2573809523809524</v>
      </c>
      <c r="R272" s="44">
        <f t="shared" si="73"/>
        <v>0.728</v>
      </c>
      <c r="S272" s="44">
        <f t="shared" si="73"/>
        <v>0.34933555555555557</v>
      </c>
      <c r="T272" s="44">
        <f t="shared" si="73"/>
        <v>0.46677777777777774</v>
      </c>
      <c r="U272" s="144"/>
      <c r="V272" s="142"/>
      <c r="W272" s="142"/>
      <c r="X272" s="142"/>
    </row>
    <row r="273" spans="1:24" s="140" customFormat="1" ht="11.25" customHeight="1" hidden="1">
      <c r="A273" s="179"/>
      <c r="B273" s="180"/>
      <c r="C273" s="180"/>
      <c r="D273" s="180"/>
      <c r="E273" s="171">
        <f>90-E271</f>
        <v>0</v>
      </c>
      <c r="F273" s="155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9"/>
      <c r="U273" s="144"/>
      <c r="V273" s="142"/>
      <c r="W273" s="142"/>
      <c r="X273" s="142"/>
    </row>
    <row r="274" spans="1:24" s="140" customFormat="1" ht="11.25" customHeight="1">
      <c r="A274" s="232" t="s">
        <v>30</v>
      </c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4"/>
      <c r="U274" s="11"/>
      <c r="V274" s="24"/>
      <c r="W274" s="24"/>
      <c r="X274" s="24"/>
    </row>
    <row r="275" spans="1:20" s="129" customFormat="1" ht="11.25" customHeight="1">
      <c r="A275" s="135"/>
      <c r="B275" s="263" t="s">
        <v>128</v>
      </c>
      <c r="C275" s="263"/>
      <c r="D275" s="131">
        <v>60</v>
      </c>
      <c r="E275" s="130">
        <v>26.39</v>
      </c>
      <c r="F275" s="130">
        <v>11</v>
      </c>
      <c r="G275" s="203">
        <v>9.5</v>
      </c>
      <c r="H275" s="203">
        <v>31.5</v>
      </c>
      <c r="I275" s="130">
        <f>F275*4+G275*9+H275*4</f>
        <v>255.5</v>
      </c>
      <c r="J275" s="130">
        <v>0.1</v>
      </c>
      <c r="K275" s="130">
        <v>0.3</v>
      </c>
      <c r="L275" s="130">
        <v>0.6</v>
      </c>
      <c r="M275" s="130">
        <v>0.13</v>
      </c>
      <c r="N275" s="130">
        <v>1.8</v>
      </c>
      <c r="O275" s="130">
        <v>18.6</v>
      </c>
      <c r="P275" s="130">
        <v>113.8</v>
      </c>
      <c r="Q275" s="130">
        <v>1.63</v>
      </c>
      <c r="R275" s="130">
        <v>0.01</v>
      </c>
      <c r="S275" s="130">
        <v>17.4</v>
      </c>
      <c r="T275" s="130">
        <v>0.6</v>
      </c>
    </row>
    <row r="276" spans="1:24" s="140" customFormat="1" ht="12.75" customHeight="1">
      <c r="A276" s="198">
        <v>377</v>
      </c>
      <c r="B276" s="255" t="s">
        <v>45</v>
      </c>
      <c r="C276" s="255"/>
      <c r="D276" s="147">
        <v>200</v>
      </c>
      <c r="E276" s="148">
        <v>3.61</v>
      </c>
      <c r="F276" s="148">
        <v>0.26</v>
      </c>
      <c r="G276" s="148">
        <v>0.06</v>
      </c>
      <c r="H276" s="148">
        <v>15.22</v>
      </c>
      <c r="I276" s="148">
        <f>F276*4+G276*9+H276*4</f>
        <v>62.46</v>
      </c>
      <c r="J276" s="148"/>
      <c r="K276" s="148">
        <v>0.01</v>
      </c>
      <c r="L276" s="148">
        <v>2.9</v>
      </c>
      <c r="M276" s="145">
        <v>0</v>
      </c>
      <c r="N276" s="148">
        <v>0.06</v>
      </c>
      <c r="O276" s="148">
        <v>8.05</v>
      </c>
      <c r="P276" s="148">
        <v>9.78</v>
      </c>
      <c r="Q276" s="148">
        <v>0.017</v>
      </c>
      <c r="R276" s="149">
        <v>0</v>
      </c>
      <c r="S276" s="148">
        <v>5.24</v>
      </c>
      <c r="T276" s="148">
        <v>0.87</v>
      </c>
      <c r="U276" s="150"/>
      <c r="V276" s="151"/>
      <c r="W276" s="151"/>
      <c r="X276" s="151"/>
    </row>
    <row r="277" spans="1:24" s="1" customFormat="1" ht="11.25" customHeight="1">
      <c r="A277" s="61" t="s">
        <v>31</v>
      </c>
      <c r="B277" s="62"/>
      <c r="C277" s="62"/>
      <c r="D277" s="65">
        <f aca="true" t="shared" si="74" ref="D277:I277">SUM(D275:D276)</f>
        <v>260</v>
      </c>
      <c r="E277" s="154">
        <f t="shared" si="74"/>
        <v>30</v>
      </c>
      <c r="F277" s="39">
        <f t="shared" si="74"/>
        <v>11.26</v>
      </c>
      <c r="G277" s="38">
        <f t="shared" si="74"/>
        <v>9.56</v>
      </c>
      <c r="H277" s="38">
        <f t="shared" si="74"/>
        <v>46.72</v>
      </c>
      <c r="I277" s="38">
        <f t="shared" si="74"/>
        <v>317.96</v>
      </c>
      <c r="J277" s="39">
        <f aca="true" t="shared" si="75" ref="J277:T277">SUM(J275:J276)</f>
        <v>0.1</v>
      </c>
      <c r="K277" s="39">
        <f t="shared" si="75"/>
        <v>0.31</v>
      </c>
      <c r="L277" s="49">
        <f t="shared" si="75"/>
        <v>3.5</v>
      </c>
      <c r="M277" s="38">
        <f t="shared" si="75"/>
        <v>0.13</v>
      </c>
      <c r="N277" s="38">
        <f t="shared" si="75"/>
        <v>1.86</v>
      </c>
      <c r="O277" s="38">
        <f t="shared" si="75"/>
        <v>26.650000000000002</v>
      </c>
      <c r="P277" s="38">
        <f t="shared" si="75"/>
        <v>123.58</v>
      </c>
      <c r="Q277" s="38">
        <f t="shared" si="75"/>
        <v>1.6469999999999998</v>
      </c>
      <c r="R277" s="39">
        <f t="shared" si="75"/>
        <v>0.01</v>
      </c>
      <c r="S277" s="38">
        <f t="shared" si="75"/>
        <v>22.64</v>
      </c>
      <c r="T277" s="39">
        <f t="shared" si="75"/>
        <v>1.47</v>
      </c>
      <c r="U277" s="38"/>
      <c r="V277" s="142"/>
      <c r="W277" s="142"/>
      <c r="X277" s="142"/>
    </row>
    <row r="278" spans="1:24" s="1" customFormat="1" ht="11.25" customHeight="1">
      <c r="A278" s="229" t="s">
        <v>63</v>
      </c>
      <c r="B278" s="230"/>
      <c r="C278" s="230"/>
      <c r="D278" s="231"/>
      <c r="E278" s="181"/>
      <c r="F278" s="76">
        <f>F277/F280</f>
        <v>0.12511111111111112</v>
      </c>
      <c r="G278" s="44">
        <f aca="true" t="shared" si="76" ref="G278:T278">G277/G280</f>
        <v>0.10391304347826087</v>
      </c>
      <c r="H278" s="44">
        <f t="shared" si="76"/>
        <v>0.12198433420365536</v>
      </c>
      <c r="I278" s="44">
        <f t="shared" si="76"/>
        <v>0.11689705882352941</v>
      </c>
      <c r="J278" s="44">
        <f t="shared" si="76"/>
        <v>0.07142857142857144</v>
      </c>
      <c r="K278" s="44">
        <f t="shared" si="76"/>
        <v>0.19374999999999998</v>
      </c>
      <c r="L278" s="44">
        <f t="shared" si="76"/>
        <v>0.05</v>
      </c>
      <c r="M278" s="44">
        <f t="shared" si="76"/>
        <v>0.14444444444444446</v>
      </c>
      <c r="N278" s="44">
        <f t="shared" si="76"/>
        <v>0.155</v>
      </c>
      <c r="O278" s="44">
        <f t="shared" si="76"/>
        <v>0.022208333333333333</v>
      </c>
      <c r="P278" s="44">
        <f t="shared" si="76"/>
        <v>0.10298333333333333</v>
      </c>
      <c r="Q278" s="44">
        <f t="shared" si="76"/>
        <v>0.11764285714285713</v>
      </c>
      <c r="R278" s="44">
        <f t="shared" si="76"/>
        <v>0.09999999999999999</v>
      </c>
      <c r="S278" s="44">
        <f t="shared" si="76"/>
        <v>0.07546666666666667</v>
      </c>
      <c r="T278" s="44">
        <f t="shared" si="76"/>
        <v>0.08166666666666667</v>
      </c>
      <c r="U278" s="144"/>
      <c r="V278" s="142"/>
      <c r="W278" s="142"/>
      <c r="X278" s="142"/>
    </row>
    <row r="279" spans="1:24" s="1" customFormat="1" ht="11.25" customHeight="1">
      <c r="A279" s="259" t="s">
        <v>62</v>
      </c>
      <c r="B279" s="260"/>
      <c r="C279" s="260"/>
      <c r="D279" s="261"/>
      <c r="E279" s="174"/>
      <c r="F279" s="39">
        <f aca="true" t="shared" si="77" ref="F279:T279">SUM(F261,F271,F277)</f>
        <v>88.88333333333334</v>
      </c>
      <c r="G279" s="38">
        <f t="shared" si="77"/>
        <v>83.006</v>
      </c>
      <c r="H279" s="38">
        <f t="shared" si="77"/>
        <v>241.99200000000005</v>
      </c>
      <c r="I279" s="38">
        <f t="shared" si="77"/>
        <v>2071.3073333333336</v>
      </c>
      <c r="J279" s="39">
        <f t="shared" si="77"/>
        <v>1.423</v>
      </c>
      <c r="K279" s="39">
        <f t="shared" si="77"/>
        <v>1.4766666666666668</v>
      </c>
      <c r="L279" s="38">
        <f t="shared" si="77"/>
        <v>53.76466666666667</v>
      </c>
      <c r="M279" s="39">
        <f t="shared" si="77"/>
        <v>82.91933333333333</v>
      </c>
      <c r="N279" s="39">
        <f t="shared" si="77"/>
        <v>10.199</v>
      </c>
      <c r="O279" s="38">
        <f t="shared" si="77"/>
        <v>453.80600000000004</v>
      </c>
      <c r="P279" s="38">
        <f t="shared" si="77"/>
        <v>1036.492</v>
      </c>
      <c r="Q279" s="39">
        <f t="shared" si="77"/>
        <v>6.641</v>
      </c>
      <c r="R279" s="40">
        <f t="shared" si="77"/>
        <v>0.09913333333333334</v>
      </c>
      <c r="S279" s="39">
        <f t="shared" si="77"/>
        <v>216.03066666666666</v>
      </c>
      <c r="T279" s="39">
        <f t="shared" si="77"/>
        <v>13.455333333333334</v>
      </c>
      <c r="U279" s="42"/>
      <c r="V279" s="142"/>
      <c r="W279" s="142"/>
      <c r="X279" s="142"/>
    </row>
    <row r="280" spans="1:24" s="1" customFormat="1" ht="11.25" customHeight="1">
      <c r="A280" s="259" t="s">
        <v>64</v>
      </c>
      <c r="B280" s="260"/>
      <c r="C280" s="260"/>
      <c r="D280" s="261"/>
      <c r="E280" s="174"/>
      <c r="F280" s="148">
        <v>90</v>
      </c>
      <c r="G280" s="146">
        <v>92</v>
      </c>
      <c r="H280" s="146">
        <v>383</v>
      </c>
      <c r="I280" s="146">
        <v>2720</v>
      </c>
      <c r="J280" s="148">
        <v>1.4</v>
      </c>
      <c r="K280" s="148">
        <v>1.6</v>
      </c>
      <c r="L280" s="147">
        <v>70</v>
      </c>
      <c r="M280" s="148">
        <v>0.9</v>
      </c>
      <c r="N280" s="147">
        <v>12</v>
      </c>
      <c r="O280" s="147">
        <v>1200</v>
      </c>
      <c r="P280" s="147">
        <v>1200</v>
      </c>
      <c r="Q280" s="147">
        <v>14</v>
      </c>
      <c r="R280" s="146">
        <v>0.1</v>
      </c>
      <c r="S280" s="147">
        <v>300</v>
      </c>
      <c r="T280" s="148">
        <v>18</v>
      </c>
      <c r="U280" s="150"/>
      <c r="V280" s="151"/>
      <c r="W280" s="151"/>
      <c r="X280" s="151"/>
    </row>
    <row r="281" spans="1:24" s="1" customFormat="1" ht="11.25" customHeight="1">
      <c r="A281" s="229" t="s">
        <v>63</v>
      </c>
      <c r="B281" s="230"/>
      <c r="C281" s="230"/>
      <c r="D281" s="231"/>
      <c r="E281" s="181"/>
      <c r="F281" s="76">
        <f aca="true" t="shared" si="78" ref="F281:T281">F279/F280</f>
        <v>0.9875925925925927</v>
      </c>
      <c r="G281" s="44">
        <f t="shared" si="78"/>
        <v>0.9022391304347827</v>
      </c>
      <c r="H281" s="44">
        <f t="shared" si="78"/>
        <v>0.6318328981723239</v>
      </c>
      <c r="I281" s="44">
        <f t="shared" si="78"/>
        <v>0.761510049019608</v>
      </c>
      <c r="J281" s="44">
        <f t="shared" si="78"/>
        <v>1.0164285714285715</v>
      </c>
      <c r="K281" s="44">
        <f t="shared" si="78"/>
        <v>0.9229166666666667</v>
      </c>
      <c r="L281" s="44">
        <f t="shared" si="78"/>
        <v>0.7680666666666667</v>
      </c>
      <c r="M281" s="45">
        <f t="shared" si="78"/>
        <v>92.13259259259259</v>
      </c>
      <c r="N281" s="44">
        <f t="shared" si="78"/>
        <v>0.8499166666666667</v>
      </c>
      <c r="O281" s="44">
        <f t="shared" si="78"/>
        <v>0.3781716666666667</v>
      </c>
      <c r="P281" s="44">
        <f t="shared" si="78"/>
        <v>0.8637433333333333</v>
      </c>
      <c r="Q281" s="44">
        <f t="shared" si="78"/>
        <v>0.47435714285714287</v>
      </c>
      <c r="R281" s="45">
        <f t="shared" si="78"/>
        <v>0.9913333333333333</v>
      </c>
      <c r="S281" s="44">
        <f t="shared" si="78"/>
        <v>0.7201022222222222</v>
      </c>
      <c r="T281" s="45">
        <f t="shared" si="78"/>
        <v>0.7475185185185186</v>
      </c>
      <c r="U281" s="46"/>
      <c r="V281" s="47"/>
      <c r="W281" s="47"/>
      <c r="X281" s="47"/>
    </row>
    <row r="282" spans="1:24" s="1" customFormat="1" ht="11.25" customHeight="1">
      <c r="A282" s="54" t="s">
        <v>88</v>
      </c>
      <c r="B282" s="54"/>
      <c r="C282" s="110"/>
      <c r="D282" s="110"/>
      <c r="E282" s="117"/>
      <c r="F282" s="102"/>
      <c r="G282" s="71"/>
      <c r="H282" s="2"/>
      <c r="I282" s="2"/>
      <c r="J282" s="71"/>
      <c r="K282" s="71"/>
      <c r="L282" s="71"/>
      <c r="M282" s="269" t="s">
        <v>66</v>
      </c>
      <c r="N282" s="269"/>
      <c r="O282" s="269"/>
      <c r="P282" s="269"/>
      <c r="Q282" s="269"/>
      <c r="R282" s="269"/>
      <c r="S282" s="269"/>
      <c r="T282" s="269"/>
      <c r="U282" s="12"/>
      <c r="V282" s="19"/>
      <c r="W282" s="19"/>
      <c r="X282" s="19"/>
    </row>
    <row r="283" spans="1:24" s="1" customFormat="1" ht="11.25" customHeight="1">
      <c r="A283" s="54"/>
      <c r="B283" s="54"/>
      <c r="C283" s="110"/>
      <c r="D283" s="110"/>
      <c r="E283" s="117"/>
      <c r="F283" s="102"/>
      <c r="G283" s="71"/>
      <c r="H283" s="2"/>
      <c r="I283" s="2"/>
      <c r="J283" s="71"/>
      <c r="K283" s="71"/>
      <c r="L283" s="71"/>
      <c r="M283" s="111"/>
      <c r="N283" s="111"/>
      <c r="O283" s="111"/>
      <c r="P283" s="111"/>
      <c r="Q283" s="111"/>
      <c r="R283" s="111"/>
      <c r="S283" s="111"/>
      <c r="T283" s="111"/>
      <c r="U283" s="12"/>
      <c r="V283" s="19"/>
      <c r="W283" s="19"/>
      <c r="X283" s="19"/>
    </row>
    <row r="284" spans="1:24" s="1" customFormat="1" ht="11.25" customHeight="1">
      <c r="A284" s="262" t="s">
        <v>43</v>
      </c>
      <c r="B284" s="262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13"/>
      <c r="V284" s="25"/>
      <c r="W284" s="25"/>
      <c r="X284" s="25"/>
    </row>
    <row r="285" spans="1:24" s="1" customFormat="1" ht="11.25" customHeight="1">
      <c r="A285" s="58" t="s">
        <v>55</v>
      </c>
      <c r="B285" s="54"/>
      <c r="C285" s="54"/>
      <c r="D285" s="2"/>
      <c r="E285" s="2"/>
      <c r="F285" s="34"/>
      <c r="G285" s="240" t="s">
        <v>37</v>
      </c>
      <c r="H285" s="240"/>
      <c r="I285" s="240"/>
      <c r="J285" s="71"/>
      <c r="K285" s="71"/>
      <c r="L285" s="247" t="s">
        <v>2</v>
      </c>
      <c r="M285" s="247"/>
      <c r="N285" s="256"/>
      <c r="O285" s="256"/>
      <c r="P285" s="256"/>
      <c r="Q285" s="256"/>
      <c r="R285" s="71"/>
      <c r="S285" s="71"/>
      <c r="T285" s="71"/>
      <c r="U285" s="14"/>
      <c r="V285" s="20"/>
      <c r="W285" s="20"/>
      <c r="X285" s="20"/>
    </row>
    <row r="286" spans="1:24" s="1" customFormat="1" ht="11.25" customHeight="1">
      <c r="A286" s="54"/>
      <c r="B286" s="54"/>
      <c r="C286" s="54"/>
      <c r="D286" s="235" t="s">
        <v>3</v>
      </c>
      <c r="E286" s="235"/>
      <c r="F286" s="235"/>
      <c r="G286" s="7">
        <v>2</v>
      </c>
      <c r="H286" s="71"/>
      <c r="I286" s="2"/>
      <c r="J286" s="2"/>
      <c r="K286" s="2"/>
      <c r="L286" s="235" t="s">
        <v>4</v>
      </c>
      <c r="M286" s="235"/>
      <c r="N286" s="239" t="s">
        <v>57</v>
      </c>
      <c r="O286" s="239"/>
      <c r="P286" s="239"/>
      <c r="Q286" s="239"/>
      <c r="R286" s="239"/>
      <c r="S286" s="239"/>
      <c r="T286" s="239"/>
      <c r="U286" s="15"/>
      <c r="V286" s="21"/>
      <c r="W286" s="21"/>
      <c r="X286" s="21"/>
    </row>
    <row r="287" spans="1:24" s="140" customFormat="1" ht="21.75" customHeight="1">
      <c r="A287" s="241" t="s">
        <v>5</v>
      </c>
      <c r="B287" s="243" t="s">
        <v>6</v>
      </c>
      <c r="C287" s="244"/>
      <c r="D287" s="241" t="s">
        <v>7</v>
      </c>
      <c r="E287" s="183"/>
      <c r="F287" s="248" t="s">
        <v>8</v>
      </c>
      <c r="G287" s="249"/>
      <c r="H287" s="250"/>
      <c r="I287" s="241" t="s">
        <v>9</v>
      </c>
      <c r="J287" s="248" t="s">
        <v>10</v>
      </c>
      <c r="K287" s="249"/>
      <c r="L287" s="249"/>
      <c r="M287" s="249"/>
      <c r="N287" s="250"/>
      <c r="O287" s="248" t="s">
        <v>11</v>
      </c>
      <c r="P287" s="249"/>
      <c r="Q287" s="249"/>
      <c r="R287" s="249"/>
      <c r="S287" s="249"/>
      <c r="T287" s="250"/>
      <c r="U287" s="9"/>
      <c r="V287" s="20"/>
      <c r="W287" s="20"/>
      <c r="X287" s="20"/>
    </row>
    <row r="288" spans="1:24" s="140" customFormat="1" ht="21" customHeight="1">
      <c r="A288" s="242"/>
      <c r="B288" s="245"/>
      <c r="C288" s="246"/>
      <c r="D288" s="242"/>
      <c r="E288" s="176"/>
      <c r="F288" s="100" t="s">
        <v>12</v>
      </c>
      <c r="G288" s="177" t="s">
        <v>13</v>
      </c>
      <c r="H288" s="177" t="s">
        <v>14</v>
      </c>
      <c r="I288" s="242"/>
      <c r="J288" s="177" t="s">
        <v>15</v>
      </c>
      <c r="K288" s="177" t="s">
        <v>58</v>
      </c>
      <c r="L288" s="177" t="s">
        <v>16</v>
      </c>
      <c r="M288" s="177" t="s">
        <v>17</v>
      </c>
      <c r="N288" s="177" t="s">
        <v>18</v>
      </c>
      <c r="O288" s="177" t="s">
        <v>19</v>
      </c>
      <c r="P288" s="177" t="s">
        <v>20</v>
      </c>
      <c r="Q288" s="177" t="s">
        <v>59</v>
      </c>
      <c r="R288" s="177" t="s">
        <v>60</v>
      </c>
      <c r="S288" s="177" t="s">
        <v>21</v>
      </c>
      <c r="T288" s="177" t="s">
        <v>22</v>
      </c>
      <c r="U288" s="9"/>
      <c r="V288" s="20"/>
      <c r="W288" s="20"/>
      <c r="X288" s="20"/>
    </row>
    <row r="289" spans="1:24" s="140" customFormat="1" ht="11.25" customHeight="1">
      <c r="A289" s="182">
        <v>1</v>
      </c>
      <c r="B289" s="257">
        <v>2</v>
      </c>
      <c r="C289" s="258"/>
      <c r="D289" s="37">
        <v>3</v>
      </c>
      <c r="E289" s="37"/>
      <c r="F289" s="101">
        <v>4</v>
      </c>
      <c r="G289" s="37">
        <v>5</v>
      </c>
      <c r="H289" s="37">
        <v>6</v>
      </c>
      <c r="I289" s="37">
        <v>7</v>
      </c>
      <c r="J289" s="37">
        <v>8</v>
      </c>
      <c r="K289" s="37">
        <v>9</v>
      </c>
      <c r="L289" s="37">
        <v>10</v>
      </c>
      <c r="M289" s="37">
        <v>11</v>
      </c>
      <c r="N289" s="37">
        <v>12</v>
      </c>
      <c r="O289" s="37">
        <v>13</v>
      </c>
      <c r="P289" s="37">
        <v>14</v>
      </c>
      <c r="Q289" s="37">
        <v>15</v>
      </c>
      <c r="R289" s="37">
        <v>16</v>
      </c>
      <c r="S289" s="37">
        <v>17</v>
      </c>
      <c r="T289" s="37">
        <v>18</v>
      </c>
      <c r="U289" s="10"/>
      <c r="V289" s="20"/>
      <c r="W289" s="20"/>
      <c r="X289" s="20"/>
    </row>
    <row r="290" spans="1:24" s="140" customFormat="1" ht="11.25" customHeight="1">
      <c r="A290" s="232" t="s">
        <v>26</v>
      </c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4"/>
      <c r="U290" s="11"/>
      <c r="V290" s="20"/>
      <c r="W290" s="20"/>
      <c r="X290" s="20"/>
    </row>
    <row r="291" spans="1:24" s="140" customFormat="1" ht="11.25" customHeight="1">
      <c r="A291" s="66">
        <v>338</v>
      </c>
      <c r="B291" s="221" t="s">
        <v>112</v>
      </c>
      <c r="C291" s="222"/>
      <c r="D291" s="147">
        <v>100</v>
      </c>
      <c r="E291" s="148">
        <v>28.88</v>
      </c>
      <c r="F291" s="148">
        <v>0.9</v>
      </c>
      <c r="G291" s="145">
        <v>0.2</v>
      </c>
      <c r="H291" s="146">
        <v>8.1</v>
      </c>
      <c r="I291" s="148">
        <f>F291*4+G291*9+H291*4</f>
        <v>37.8</v>
      </c>
      <c r="J291" s="148">
        <v>0.04</v>
      </c>
      <c r="K291" s="148">
        <v>0.03</v>
      </c>
      <c r="L291" s="148">
        <v>60</v>
      </c>
      <c r="M291" s="148">
        <v>0.008</v>
      </c>
      <c r="N291" s="145">
        <v>0.2</v>
      </c>
      <c r="O291" s="148">
        <v>34</v>
      </c>
      <c r="P291" s="148">
        <v>23</v>
      </c>
      <c r="Q291" s="149">
        <v>0.2</v>
      </c>
      <c r="R291" s="148">
        <v>0.002</v>
      </c>
      <c r="S291" s="148">
        <v>15</v>
      </c>
      <c r="T291" s="148">
        <v>0.3</v>
      </c>
      <c r="U291" s="11"/>
      <c r="V291" s="24"/>
      <c r="W291" s="24"/>
      <c r="X291" s="24"/>
    </row>
    <row r="292" spans="1:24" s="140" customFormat="1" ht="11.25" customHeight="1">
      <c r="A292" s="121">
        <v>15</v>
      </c>
      <c r="B292" s="221" t="s">
        <v>79</v>
      </c>
      <c r="C292" s="222"/>
      <c r="D292" s="147">
        <v>25</v>
      </c>
      <c r="E292" s="148">
        <v>16</v>
      </c>
      <c r="F292" s="148">
        <f>2.32*D292/10</f>
        <v>5.799999999999999</v>
      </c>
      <c r="G292" s="148">
        <f>3.4*D292/10</f>
        <v>8.5</v>
      </c>
      <c r="H292" s="148">
        <f>0.01*D292/10</f>
        <v>0.025</v>
      </c>
      <c r="I292" s="148">
        <f>F292*4+G292*9+H292*4</f>
        <v>99.79999999999998</v>
      </c>
      <c r="J292" s="148">
        <f>0.004*D292/10</f>
        <v>0.01</v>
      </c>
      <c r="K292" s="148">
        <f>0.03*D292/10</f>
        <v>0.075</v>
      </c>
      <c r="L292" s="148">
        <f>0.07*D292/10</f>
        <v>0.17500000000000002</v>
      </c>
      <c r="M292" s="149">
        <f>0.023*D292/10</f>
        <v>0.057499999999999996</v>
      </c>
      <c r="N292" s="148">
        <f>0.05*D292/10</f>
        <v>0.125</v>
      </c>
      <c r="O292" s="148">
        <f>88*D292/10</f>
        <v>220</v>
      </c>
      <c r="P292" s="148">
        <f>50*D292/10</f>
        <v>125</v>
      </c>
      <c r="Q292" s="148">
        <f>0.4*D292/10</f>
        <v>1</v>
      </c>
      <c r="R292" s="149">
        <f>0.02*D292/10</f>
        <v>0.05</v>
      </c>
      <c r="S292" s="148">
        <f>3.5*D292/10</f>
        <v>8.75</v>
      </c>
      <c r="T292" s="148">
        <f>0.13*D292/10</f>
        <v>0.325</v>
      </c>
      <c r="U292" s="11"/>
      <c r="V292" s="24"/>
      <c r="W292" s="24"/>
      <c r="X292" s="24"/>
    </row>
    <row r="293" spans="1:24" s="140" customFormat="1" ht="21.75" customHeight="1">
      <c r="A293" s="153">
        <v>173</v>
      </c>
      <c r="B293" s="221" t="s">
        <v>116</v>
      </c>
      <c r="C293" s="222"/>
      <c r="D293" s="147">
        <v>250</v>
      </c>
      <c r="E293" s="148">
        <v>18.41</v>
      </c>
      <c r="F293" s="148">
        <f>7.3*D293/200</f>
        <v>9.125</v>
      </c>
      <c r="G293" s="148">
        <f>12.5*D293/200</f>
        <v>15.625</v>
      </c>
      <c r="H293" s="148">
        <f>54.3*D293/200</f>
        <v>67.875</v>
      </c>
      <c r="I293" s="148">
        <f>F293*4+G293*9+H293*4</f>
        <v>448.625</v>
      </c>
      <c r="J293" s="148">
        <f>0.14*D293/200</f>
        <v>0.175</v>
      </c>
      <c r="K293" s="148">
        <f>0.18*D293/200</f>
        <v>0.225</v>
      </c>
      <c r="L293" s="148">
        <f>3.35*D293/200</f>
        <v>4.1875</v>
      </c>
      <c r="M293" s="149">
        <f>0.037*D293/200</f>
        <v>0.04625</v>
      </c>
      <c r="N293" s="148">
        <f>1.3*D293/200</f>
        <v>1.625</v>
      </c>
      <c r="O293" s="146">
        <f>147.6*D293/200</f>
        <v>184.5</v>
      </c>
      <c r="P293" s="146">
        <f>198.6*D293/200</f>
        <v>248.25</v>
      </c>
      <c r="Q293" s="147">
        <v>0</v>
      </c>
      <c r="R293" s="146">
        <v>0</v>
      </c>
      <c r="S293" s="146">
        <f>57.8*D293/200</f>
        <v>72.25</v>
      </c>
      <c r="T293" s="148">
        <f>1.3*D293/200</f>
        <v>1.625</v>
      </c>
      <c r="U293" s="150"/>
      <c r="V293" s="151"/>
      <c r="W293" s="151"/>
      <c r="X293" s="151"/>
    </row>
    <row r="294" spans="1:24" s="140" customFormat="1" ht="12.75" customHeight="1">
      <c r="A294" s="182">
        <v>377</v>
      </c>
      <c r="B294" s="255" t="s">
        <v>45</v>
      </c>
      <c r="C294" s="255"/>
      <c r="D294" s="147">
        <v>200</v>
      </c>
      <c r="E294" s="148">
        <v>3.61</v>
      </c>
      <c r="F294" s="148">
        <v>0.26</v>
      </c>
      <c r="G294" s="148">
        <v>0.06</v>
      </c>
      <c r="H294" s="148">
        <v>15.22</v>
      </c>
      <c r="I294" s="148">
        <f>F294*4+G294*9+H294*4</f>
        <v>62.46</v>
      </c>
      <c r="J294" s="148"/>
      <c r="K294" s="148">
        <v>0.01</v>
      </c>
      <c r="L294" s="148">
        <v>2.9</v>
      </c>
      <c r="M294" s="145">
        <v>0</v>
      </c>
      <c r="N294" s="148">
        <v>0.06</v>
      </c>
      <c r="O294" s="148">
        <v>8.05</v>
      </c>
      <c r="P294" s="148">
        <v>9.78</v>
      </c>
      <c r="Q294" s="148">
        <v>0.017</v>
      </c>
      <c r="R294" s="149">
        <v>0</v>
      </c>
      <c r="S294" s="148">
        <v>5.24</v>
      </c>
      <c r="T294" s="148">
        <v>0.87</v>
      </c>
      <c r="U294" s="150"/>
      <c r="V294" s="151"/>
      <c r="W294" s="151"/>
      <c r="X294" s="151"/>
    </row>
    <row r="295" spans="1:24" s="140" customFormat="1" ht="13.5" customHeight="1">
      <c r="A295" s="153" t="s">
        <v>67</v>
      </c>
      <c r="B295" s="221" t="s">
        <v>53</v>
      </c>
      <c r="C295" s="222"/>
      <c r="D295" s="147">
        <v>40</v>
      </c>
      <c r="E295" s="148">
        <v>3.1</v>
      </c>
      <c r="F295" s="148">
        <f>1.52*D295/30</f>
        <v>2.0266666666666664</v>
      </c>
      <c r="G295" s="149">
        <f>0.16*D295/30</f>
        <v>0.21333333333333335</v>
      </c>
      <c r="H295" s="149">
        <f>9.84*D295/30</f>
        <v>13.120000000000001</v>
      </c>
      <c r="I295" s="149">
        <f>F295*4+G295*9+H295*4</f>
        <v>62.50666666666667</v>
      </c>
      <c r="J295" s="149">
        <f>0.02*D295/30</f>
        <v>0.02666666666666667</v>
      </c>
      <c r="K295" s="149">
        <f>0.01*D295/30</f>
        <v>0.013333333333333334</v>
      </c>
      <c r="L295" s="149">
        <f>0.44*D295/30</f>
        <v>0.5866666666666667</v>
      </c>
      <c r="M295" s="149">
        <v>0</v>
      </c>
      <c r="N295" s="149">
        <f>0.7*D295/30</f>
        <v>0.9333333333333333</v>
      </c>
      <c r="O295" s="149">
        <f>4*D295/30</f>
        <v>5.333333333333333</v>
      </c>
      <c r="P295" s="149">
        <f>13*D295/30</f>
        <v>17.333333333333332</v>
      </c>
      <c r="Q295" s="149">
        <f>0.008*D295/30</f>
        <v>0.010666666666666666</v>
      </c>
      <c r="R295" s="149">
        <f>0.001*D295/30</f>
        <v>0.0013333333333333333</v>
      </c>
      <c r="S295" s="149">
        <v>0</v>
      </c>
      <c r="T295" s="149">
        <f>0.22*D295/30</f>
        <v>0.29333333333333333</v>
      </c>
      <c r="U295" s="150"/>
      <c r="V295" s="151"/>
      <c r="W295" s="151"/>
      <c r="X295" s="151"/>
    </row>
    <row r="296" spans="1:24" s="1" customFormat="1" ht="11.25" customHeight="1">
      <c r="A296" s="61" t="s">
        <v>27</v>
      </c>
      <c r="B296" s="62"/>
      <c r="C296" s="62"/>
      <c r="D296" s="65">
        <f>SUM(D291:D295)</f>
        <v>615</v>
      </c>
      <c r="E296" s="154">
        <f>SUM(E291:E295)</f>
        <v>69.99999999999999</v>
      </c>
      <c r="F296" s="39">
        <f aca="true" t="shared" si="79" ref="F296:T296">SUM(F291:F295)</f>
        <v>18.111666666666668</v>
      </c>
      <c r="G296" s="38">
        <f t="shared" si="79"/>
        <v>24.598333333333333</v>
      </c>
      <c r="H296" s="38">
        <f t="shared" si="79"/>
        <v>104.34</v>
      </c>
      <c r="I296" s="38">
        <f t="shared" si="79"/>
        <v>711.1916666666666</v>
      </c>
      <c r="J296" s="39">
        <f t="shared" si="79"/>
        <v>0.25166666666666665</v>
      </c>
      <c r="K296" s="39">
        <f t="shared" si="79"/>
        <v>0.35333333333333333</v>
      </c>
      <c r="L296" s="39">
        <f t="shared" si="79"/>
        <v>67.84916666666668</v>
      </c>
      <c r="M296" s="39">
        <f t="shared" si="79"/>
        <v>0.11175</v>
      </c>
      <c r="N296" s="39">
        <f t="shared" si="79"/>
        <v>2.9433333333333334</v>
      </c>
      <c r="O296" s="39">
        <f t="shared" si="79"/>
        <v>451.8833333333333</v>
      </c>
      <c r="P296" s="39">
        <f t="shared" si="79"/>
        <v>423.3633333333333</v>
      </c>
      <c r="Q296" s="39">
        <f t="shared" si="79"/>
        <v>1.2276666666666665</v>
      </c>
      <c r="R296" s="40">
        <f t="shared" si="79"/>
        <v>0.05333333333333334</v>
      </c>
      <c r="S296" s="39">
        <f t="shared" si="79"/>
        <v>101.24</v>
      </c>
      <c r="T296" s="39">
        <f t="shared" si="79"/>
        <v>3.4133333333333336</v>
      </c>
      <c r="U296" s="38"/>
      <c r="V296" s="142"/>
      <c r="W296" s="142"/>
      <c r="X296" s="142"/>
    </row>
    <row r="297" spans="1:24" s="1" customFormat="1" ht="11.25" customHeight="1">
      <c r="A297" s="229" t="s">
        <v>63</v>
      </c>
      <c r="B297" s="230"/>
      <c r="C297" s="230"/>
      <c r="D297" s="231"/>
      <c r="E297" s="180"/>
      <c r="F297" s="155">
        <f aca="true" t="shared" si="80" ref="F297:T297">F296/F316</f>
        <v>0.20124074074074075</v>
      </c>
      <c r="G297" s="44">
        <f t="shared" si="80"/>
        <v>0.2673731884057971</v>
      </c>
      <c r="H297" s="44">
        <f t="shared" si="80"/>
        <v>0.27242819843342037</v>
      </c>
      <c r="I297" s="44">
        <f t="shared" si="80"/>
        <v>0.2614675245098039</v>
      </c>
      <c r="J297" s="44">
        <f t="shared" si="80"/>
        <v>0.17976190476190476</v>
      </c>
      <c r="K297" s="44">
        <f t="shared" si="80"/>
        <v>0.22083333333333333</v>
      </c>
      <c r="L297" s="44">
        <f t="shared" si="80"/>
        <v>0.9692738095238097</v>
      </c>
      <c r="M297" s="44">
        <f t="shared" si="80"/>
        <v>0.12416666666666666</v>
      </c>
      <c r="N297" s="44">
        <f t="shared" si="80"/>
        <v>0.2452777777777778</v>
      </c>
      <c r="O297" s="44">
        <f t="shared" si="80"/>
        <v>0.37656944444444446</v>
      </c>
      <c r="P297" s="44">
        <f t="shared" si="80"/>
        <v>0.35280277777777774</v>
      </c>
      <c r="Q297" s="44">
        <f t="shared" si="80"/>
        <v>0.08769047619047618</v>
      </c>
      <c r="R297" s="44">
        <f t="shared" si="80"/>
        <v>0.5333333333333333</v>
      </c>
      <c r="S297" s="44">
        <f t="shared" si="80"/>
        <v>0.33746666666666664</v>
      </c>
      <c r="T297" s="44">
        <f t="shared" si="80"/>
        <v>0.18962962962962965</v>
      </c>
      <c r="U297" s="144"/>
      <c r="V297" s="142"/>
      <c r="W297" s="142"/>
      <c r="X297" s="142"/>
    </row>
    <row r="298" spans="1:24" s="1" customFormat="1" ht="11.25" customHeight="1" hidden="1">
      <c r="A298" s="179"/>
      <c r="B298" s="180"/>
      <c r="C298" s="180"/>
      <c r="D298" s="180"/>
      <c r="E298" s="171">
        <f>70-E296</f>
        <v>0</v>
      </c>
      <c r="F298" s="155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9"/>
      <c r="U298" s="144"/>
      <c r="V298" s="142"/>
      <c r="W298" s="142"/>
      <c r="X298" s="142"/>
    </row>
    <row r="299" spans="1:24" s="1" customFormat="1" ht="11.25" customHeight="1">
      <c r="A299" s="232" t="s">
        <v>28</v>
      </c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4"/>
      <c r="U299" s="11"/>
      <c r="V299" s="24"/>
      <c r="W299" s="24"/>
      <c r="X299" s="24"/>
    </row>
    <row r="300" spans="1:24" s="1" customFormat="1" ht="21.75" customHeight="1">
      <c r="A300" s="198">
        <v>49</v>
      </c>
      <c r="B300" s="221" t="s">
        <v>120</v>
      </c>
      <c r="C300" s="222"/>
      <c r="D300" s="145">
        <v>100</v>
      </c>
      <c r="E300" s="145">
        <v>9.01</v>
      </c>
      <c r="F300" s="148">
        <v>1.56</v>
      </c>
      <c r="G300" s="148">
        <v>12.03</v>
      </c>
      <c r="H300" s="148">
        <v>8.78</v>
      </c>
      <c r="I300" s="148">
        <v>149.7</v>
      </c>
      <c r="J300" s="149">
        <v>0.05</v>
      </c>
      <c r="K300" s="149">
        <v>0.05</v>
      </c>
      <c r="L300" s="148">
        <v>20.66</v>
      </c>
      <c r="M300" s="148">
        <v>0.002</v>
      </c>
      <c r="N300" s="145">
        <v>2.5</v>
      </c>
      <c r="O300" s="146">
        <v>32.83</v>
      </c>
      <c r="P300" s="146">
        <v>33.85</v>
      </c>
      <c r="Q300" s="148">
        <v>0.5</v>
      </c>
      <c r="R300" s="149">
        <v>0.002</v>
      </c>
      <c r="S300" s="148">
        <v>16.63</v>
      </c>
      <c r="T300" s="148">
        <v>0.56</v>
      </c>
      <c r="U300" s="150"/>
      <c r="V300" s="151"/>
      <c r="W300" s="151"/>
      <c r="X300" s="151"/>
    </row>
    <row r="301" spans="1:24" s="140" customFormat="1" ht="12.75" customHeight="1">
      <c r="A301" s="182">
        <v>84</v>
      </c>
      <c r="B301" s="221" t="s">
        <v>80</v>
      </c>
      <c r="C301" s="222"/>
      <c r="D301" s="145">
        <v>250</v>
      </c>
      <c r="E301" s="148">
        <v>13.61</v>
      </c>
      <c r="F301" s="148">
        <f>1.77*D301/200</f>
        <v>2.2125</v>
      </c>
      <c r="G301" s="148">
        <f>2.65*D301/200</f>
        <v>3.3125</v>
      </c>
      <c r="H301" s="148">
        <f>12.74*D301/200</f>
        <v>15.925</v>
      </c>
      <c r="I301" s="148">
        <f aca="true" t="shared" si="81" ref="I301:I306">F301*4+G301*9+H301*4</f>
        <v>102.36250000000001</v>
      </c>
      <c r="J301" s="149">
        <f>0.05*D301/200</f>
        <v>0.0625</v>
      </c>
      <c r="K301" s="149">
        <f>0.05*D301/200</f>
        <v>0.0625</v>
      </c>
      <c r="L301" s="148">
        <f>19*D301/200</f>
        <v>23.75</v>
      </c>
      <c r="M301" s="148">
        <f>0.74*D301/200</f>
        <v>0.925</v>
      </c>
      <c r="N301" s="145">
        <f>0.1*D301/200</f>
        <v>0.125</v>
      </c>
      <c r="O301" s="148">
        <f>43.11*D301/200</f>
        <v>53.8875</v>
      </c>
      <c r="P301" s="148">
        <f>48.75*D301/200</f>
        <v>60.9375</v>
      </c>
      <c r="Q301" s="149">
        <f>1.3*D301/200</f>
        <v>1.625</v>
      </c>
      <c r="R301" s="149">
        <f>0.0032*D301/200</f>
        <v>0.004</v>
      </c>
      <c r="S301" s="148">
        <f>22.44*D301/200</f>
        <v>28.05</v>
      </c>
      <c r="T301" s="148">
        <f>0.8*D301/200</f>
        <v>1</v>
      </c>
      <c r="U301" s="150"/>
      <c r="V301" s="151"/>
      <c r="W301" s="151"/>
      <c r="X301" s="151"/>
    </row>
    <row r="302" spans="1:24" s="140" customFormat="1" ht="12.75" customHeight="1">
      <c r="A302" s="198">
        <v>295</v>
      </c>
      <c r="B302" s="264" t="s">
        <v>83</v>
      </c>
      <c r="C302" s="265"/>
      <c r="D302" s="145">
        <v>100</v>
      </c>
      <c r="E302" s="145">
        <v>44.7</v>
      </c>
      <c r="F302" s="148">
        <v>13.71</v>
      </c>
      <c r="G302" s="146">
        <v>5.22</v>
      </c>
      <c r="H302" s="146">
        <v>9.14</v>
      </c>
      <c r="I302" s="148">
        <v>138.42</v>
      </c>
      <c r="J302" s="145">
        <v>0.81</v>
      </c>
      <c r="K302" s="148">
        <v>0.072</v>
      </c>
      <c r="L302" s="148">
        <v>0.21</v>
      </c>
      <c r="M302" s="145">
        <f>0.001*D302/100</f>
        <v>0.001</v>
      </c>
      <c r="N302" s="145">
        <v>0.067</v>
      </c>
      <c r="O302" s="146">
        <v>12.62</v>
      </c>
      <c r="P302" s="146">
        <v>84.58</v>
      </c>
      <c r="Q302" s="148">
        <v>1.053</v>
      </c>
      <c r="R302" s="149">
        <f>0.04*D302/100</f>
        <v>0.04</v>
      </c>
      <c r="S302" s="146">
        <v>14.61</v>
      </c>
      <c r="T302" s="148">
        <v>1.7</v>
      </c>
      <c r="U302" s="150"/>
      <c r="V302" s="151"/>
      <c r="W302" s="151"/>
      <c r="X302" s="151"/>
    </row>
    <row r="303" spans="1:24" s="140" customFormat="1" ht="15.75" customHeight="1">
      <c r="A303" s="162">
        <v>139</v>
      </c>
      <c r="B303" s="266" t="s">
        <v>107</v>
      </c>
      <c r="C303" s="266"/>
      <c r="D303" s="163">
        <v>180</v>
      </c>
      <c r="E303" s="161">
        <v>12.81</v>
      </c>
      <c r="F303" s="161">
        <v>2.75</v>
      </c>
      <c r="G303" s="161">
        <v>13.2</v>
      </c>
      <c r="H303" s="161">
        <v>17.33</v>
      </c>
      <c r="I303" s="161">
        <v>199.2</v>
      </c>
      <c r="J303" s="161">
        <v>0.08</v>
      </c>
      <c r="K303" s="161">
        <v>0</v>
      </c>
      <c r="L303" s="161">
        <v>10.4</v>
      </c>
      <c r="M303" s="161">
        <v>37.2</v>
      </c>
      <c r="N303" s="161">
        <v>0</v>
      </c>
      <c r="O303" s="161">
        <v>28.68</v>
      </c>
      <c r="P303" s="161">
        <v>74.16</v>
      </c>
      <c r="Q303" s="161">
        <v>0</v>
      </c>
      <c r="R303" s="161">
        <v>0</v>
      </c>
      <c r="S303" s="161">
        <v>33.36</v>
      </c>
      <c r="T303" s="161">
        <v>1.18</v>
      </c>
      <c r="U303" s="150"/>
      <c r="V303" s="151"/>
      <c r="W303" s="151"/>
      <c r="X303" s="151"/>
    </row>
    <row r="304" spans="1:24" s="140" customFormat="1" ht="21.75" customHeight="1">
      <c r="A304" s="153">
        <v>349</v>
      </c>
      <c r="B304" s="221" t="s">
        <v>99</v>
      </c>
      <c r="C304" s="222"/>
      <c r="D304" s="147">
        <v>200</v>
      </c>
      <c r="E304" s="148">
        <v>4.73</v>
      </c>
      <c r="F304" s="148">
        <v>0.22</v>
      </c>
      <c r="G304" s="145"/>
      <c r="H304" s="148">
        <v>24.42</v>
      </c>
      <c r="I304" s="148">
        <f t="shared" si="81"/>
        <v>98.56</v>
      </c>
      <c r="J304" s="145"/>
      <c r="K304" s="145"/>
      <c r="L304" s="148">
        <v>26.11</v>
      </c>
      <c r="M304" s="145"/>
      <c r="N304" s="145"/>
      <c r="O304" s="146">
        <v>22.6</v>
      </c>
      <c r="P304" s="146">
        <v>7.7</v>
      </c>
      <c r="Q304" s="147">
        <v>0</v>
      </c>
      <c r="R304" s="147">
        <v>0</v>
      </c>
      <c r="S304" s="146">
        <v>3</v>
      </c>
      <c r="T304" s="148">
        <v>0.66</v>
      </c>
      <c r="U304" s="150"/>
      <c r="V304" s="151"/>
      <c r="W304" s="151"/>
      <c r="X304" s="151"/>
    </row>
    <row r="305" spans="1:24" s="140" customFormat="1" ht="11.25" customHeight="1">
      <c r="A305" s="78" t="s">
        <v>67</v>
      </c>
      <c r="B305" s="221" t="s">
        <v>46</v>
      </c>
      <c r="C305" s="222"/>
      <c r="D305" s="147">
        <v>40</v>
      </c>
      <c r="E305" s="148">
        <v>3.1</v>
      </c>
      <c r="F305" s="148">
        <f>2.64*D305/40</f>
        <v>2.64</v>
      </c>
      <c r="G305" s="148">
        <f>0.48*D305/40</f>
        <v>0.48</v>
      </c>
      <c r="H305" s="148">
        <f>13.68*D305/40</f>
        <v>13.680000000000001</v>
      </c>
      <c r="I305" s="146">
        <f t="shared" si="81"/>
        <v>69.60000000000001</v>
      </c>
      <c r="J305" s="145">
        <f>0.08*D305/40</f>
        <v>0.08</v>
      </c>
      <c r="K305" s="148">
        <f>0.04*D305/40</f>
        <v>0.04</v>
      </c>
      <c r="L305" s="147">
        <v>0</v>
      </c>
      <c r="M305" s="147">
        <v>0</v>
      </c>
      <c r="N305" s="148">
        <f>2.4*D305/40</f>
        <v>2.4</v>
      </c>
      <c r="O305" s="148">
        <f>14*D305/40</f>
        <v>14</v>
      </c>
      <c r="P305" s="148">
        <f>63.2*D305/40</f>
        <v>63.2</v>
      </c>
      <c r="Q305" s="148">
        <f>1.2*D305/40</f>
        <v>1.2</v>
      </c>
      <c r="R305" s="149">
        <f>0.001*D305/40</f>
        <v>0.001</v>
      </c>
      <c r="S305" s="148">
        <f>9.4*D305/40</f>
        <v>9.4</v>
      </c>
      <c r="T305" s="145">
        <f>0.78*D305/40</f>
        <v>0.78</v>
      </c>
      <c r="U305" s="30"/>
      <c r="V305" s="31"/>
      <c r="W305" s="31"/>
      <c r="X305" s="31"/>
    </row>
    <row r="306" spans="1:24" s="140" customFormat="1" ht="11.25" customHeight="1">
      <c r="A306" s="153" t="s">
        <v>67</v>
      </c>
      <c r="B306" s="221" t="s">
        <v>53</v>
      </c>
      <c r="C306" s="222"/>
      <c r="D306" s="147">
        <v>40</v>
      </c>
      <c r="E306" s="148">
        <v>2.04</v>
      </c>
      <c r="F306" s="148">
        <f>1.52*D306/30</f>
        <v>2.0266666666666664</v>
      </c>
      <c r="G306" s="149">
        <f>0.16*D306/30</f>
        <v>0.21333333333333335</v>
      </c>
      <c r="H306" s="149">
        <f>9.84*D306/30</f>
        <v>13.120000000000001</v>
      </c>
      <c r="I306" s="149">
        <f t="shared" si="81"/>
        <v>62.50666666666667</v>
      </c>
      <c r="J306" s="149">
        <f>0.02*D306/30</f>
        <v>0.02666666666666667</v>
      </c>
      <c r="K306" s="149">
        <f>0.01*D306/30</f>
        <v>0.013333333333333334</v>
      </c>
      <c r="L306" s="149">
        <f>0.44*D306/30</f>
        <v>0.5866666666666667</v>
      </c>
      <c r="M306" s="149">
        <v>0</v>
      </c>
      <c r="N306" s="149">
        <f>0.7*D306/30</f>
        <v>0.9333333333333333</v>
      </c>
      <c r="O306" s="149">
        <f>4*D306/30</f>
        <v>5.333333333333333</v>
      </c>
      <c r="P306" s="149">
        <f>13*D306/30</f>
        <v>17.333333333333332</v>
      </c>
      <c r="Q306" s="149">
        <f>0.008*D306/30</f>
        <v>0.010666666666666666</v>
      </c>
      <c r="R306" s="149">
        <f>0.001*D306/30</f>
        <v>0.0013333333333333333</v>
      </c>
      <c r="S306" s="149">
        <v>0</v>
      </c>
      <c r="T306" s="149">
        <f>0.22*D306/30</f>
        <v>0.29333333333333333</v>
      </c>
      <c r="U306" s="150"/>
      <c r="V306" s="151"/>
      <c r="W306" s="151"/>
      <c r="X306" s="151"/>
    </row>
    <row r="307" spans="1:24" s="140" customFormat="1" ht="11.25" customHeight="1">
      <c r="A307" s="61" t="s">
        <v>29</v>
      </c>
      <c r="B307" s="62"/>
      <c r="C307" s="62"/>
      <c r="D307" s="65">
        <f aca="true" t="shared" si="82" ref="D307:I307">SUM(D300:D306)</f>
        <v>910</v>
      </c>
      <c r="E307" s="154">
        <f t="shared" si="82"/>
        <v>90</v>
      </c>
      <c r="F307" s="39">
        <f t="shared" si="82"/>
        <v>25.11916666666667</v>
      </c>
      <c r="G307" s="38">
        <f t="shared" si="82"/>
        <v>34.45583333333333</v>
      </c>
      <c r="H307" s="38">
        <f t="shared" si="82"/>
        <v>102.39500000000001</v>
      </c>
      <c r="I307" s="38">
        <f t="shared" si="82"/>
        <v>820.3491666666665</v>
      </c>
      <c r="J307" s="39">
        <f aca="true" t="shared" si="83" ref="J307:T307">SUM(J300:J306)</f>
        <v>1.1091666666666669</v>
      </c>
      <c r="K307" s="39">
        <f t="shared" si="83"/>
        <v>0.23783333333333334</v>
      </c>
      <c r="L307" s="38">
        <f t="shared" si="83"/>
        <v>81.71666666666667</v>
      </c>
      <c r="M307" s="39">
        <f t="shared" si="83"/>
        <v>38.128</v>
      </c>
      <c r="N307" s="43">
        <f t="shared" si="83"/>
        <v>6.025333333333334</v>
      </c>
      <c r="O307" s="38">
        <f t="shared" si="83"/>
        <v>169.95083333333335</v>
      </c>
      <c r="P307" s="38">
        <f t="shared" si="83"/>
        <v>341.7608333333333</v>
      </c>
      <c r="Q307" s="39">
        <f t="shared" si="83"/>
        <v>4.3886666666666665</v>
      </c>
      <c r="R307" s="39">
        <f t="shared" si="83"/>
        <v>0.04833333333333333</v>
      </c>
      <c r="S307" s="38">
        <f t="shared" si="83"/>
        <v>105.05000000000001</v>
      </c>
      <c r="T307" s="39">
        <f t="shared" si="83"/>
        <v>6.173333333333333</v>
      </c>
      <c r="U307" s="38"/>
      <c r="V307" s="142"/>
      <c r="W307" s="142"/>
      <c r="X307" s="142"/>
    </row>
    <row r="308" spans="1:24" s="140" customFormat="1" ht="11.25" customHeight="1">
      <c r="A308" s="229" t="s">
        <v>63</v>
      </c>
      <c r="B308" s="230"/>
      <c r="C308" s="230"/>
      <c r="D308" s="231"/>
      <c r="E308" s="180"/>
      <c r="F308" s="155">
        <f aca="true" t="shared" si="84" ref="F308:T308">F307/F316</f>
        <v>0.2791018518518519</v>
      </c>
      <c r="G308" s="44">
        <f t="shared" si="84"/>
        <v>0.37451992753623187</v>
      </c>
      <c r="H308" s="44">
        <f t="shared" si="84"/>
        <v>0.26734986945169714</v>
      </c>
      <c r="I308" s="44">
        <f t="shared" si="84"/>
        <v>0.3015989583333333</v>
      </c>
      <c r="J308" s="44">
        <f t="shared" si="84"/>
        <v>0.792261904761905</v>
      </c>
      <c r="K308" s="44">
        <f t="shared" si="84"/>
        <v>0.14864583333333334</v>
      </c>
      <c r="L308" s="44">
        <f t="shared" si="84"/>
        <v>1.1673809523809524</v>
      </c>
      <c r="M308" s="44">
        <f t="shared" si="84"/>
        <v>42.364444444444445</v>
      </c>
      <c r="N308" s="44">
        <f t="shared" si="84"/>
        <v>0.5021111111111112</v>
      </c>
      <c r="O308" s="44">
        <f t="shared" si="84"/>
        <v>0.14162569444444445</v>
      </c>
      <c r="P308" s="44">
        <f t="shared" si="84"/>
        <v>0.28480069444444445</v>
      </c>
      <c r="Q308" s="44">
        <f t="shared" si="84"/>
        <v>0.31347619047619046</v>
      </c>
      <c r="R308" s="44">
        <f t="shared" si="84"/>
        <v>0.4833333333333333</v>
      </c>
      <c r="S308" s="44">
        <f t="shared" si="84"/>
        <v>0.3501666666666667</v>
      </c>
      <c r="T308" s="44">
        <f t="shared" si="84"/>
        <v>0.3429629629629629</v>
      </c>
      <c r="U308" s="144"/>
      <c r="V308" s="142"/>
      <c r="W308" s="142"/>
      <c r="X308" s="142"/>
    </row>
    <row r="309" spans="1:24" s="140" customFormat="1" ht="11.25" customHeight="1" hidden="1">
      <c r="A309" s="179"/>
      <c r="B309" s="180"/>
      <c r="C309" s="180"/>
      <c r="D309" s="180"/>
      <c r="E309" s="171">
        <f>90-E307</f>
        <v>0</v>
      </c>
      <c r="F309" s="155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9"/>
      <c r="U309" s="144"/>
      <c r="V309" s="142"/>
      <c r="W309" s="142"/>
      <c r="X309" s="142"/>
    </row>
    <row r="310" spans="1:24" s="140" customFormat="1" ht="11.25" customHeight="1">
      <c r="A310" s="232" t="s">
        <v>30</v>
      </c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4"/>
      <c r="U310" s="11"/>
      <c r="V310" s="24"/>
      <c r="W310" s="24"/>
      <c r="X310" s="24"/>
    </row>
    <row r="311" spans="1:24" s="129" customFormat="1" ht="21.75" customHeight="1">
      <c r="A311" s="135">
        <v>401</v>
      </c>
      <c r="B311" s="263" t="s">
        <v>95</v>
      </c>
      <c r="C311" s="263"/>
      <c r="D311" s="202">
        <v>100</v>
      </c>
      <c r="E311" s="130">
        <v>26.39</v>
      </c>
      <c r="F311" s="130">
        <v>10.9</v>
      </c>
      <c r="G311" s="203">
        <v>11.9</v>
      </c>
      <c r="H311" s="203">
        <v>57.3</v>
      </c>
      <c r="I311" s="203">
        <f>F311*4+G311*9+H311*4</f>
        <v>379.9</v>
      </c>
      <c r="J311" s="130">
        <v>0.15</v>
      </c>
      <c r="K311" s="130">
        <v>0.15</v>
      </c>
      <c r="L311" s="130">
        <v>0.15</v>
      </c>
      <c r="M311" s="130">
        <v>0.11</v>
      </c>
      <c r="N311" s="202">
        <v>1.6</v>
      </c>
      <c r="O311" s="130">
        <v>77.25</v>
      </c>
      <c r="P311" s="130">
        <v>135.45</v>
      </c>
      <c r="Q311" s="203">
        <v>1.3</v>
      </c>
      <c r="R311" s="130">
        <v>0.01</v>
      </c>
      <c r="S311" s="203">
        <v>23.6</v>
      </c>
      <c r="T311" s="130">
        <v>0.4</v>
      </c>
      <c r="V311" s="220" t="s">
        <v>70</v>
      </c>
      <c r="W311" s="220" t="s">
        <v>71</v>
      </c>
      <c r="X311" s="220" t="s">
        <v>72</v>
      </c>
    </row>
    <row r="312" spans="1:24" s="129" customFormat="1" ht="11.25" customHeight="1">
      <c r="A312" s="205">
        <v>377</v>
      </c>
      <c r="B312" s="223" t="s">
        <v>45</v>
      </c>
      <c r="C312" s="223"/>
      <c r="D312" s="206">
        <v>200</v>
      </c>
      <c r="E312" s="136">
        <v>3.61</v>
      </c>
      <c r="F312" s="128">
        <v>0.26</v>
      </c>
      <c r="G312" s="128">
        <v>0.06</v>
      </c>
      <c r="H312" s="128">
        <v>15.22</v>
      </c>
      <c r="I312" s="128">
        <v>62.46</v>
      </c>
      <c r="J312" s="128">
        <v>0</v>
      </c>
      <c r="K312" s="128">
        <v>0.01</v>
      </c>
      <c r="L312" s="128">
        <v>2.9</v>
      </c>
      <c r="M312" s="128">
        <v>0</v>
      </c>
      <c r="N312" s="128">
        <v>0.06</v>
      </c>
      <c r="O312" s="128">
        <v>8.05</v>
      </c>
      <c r="P312" s="128">
        <v>9.78</v>
      </c>
      <c r="Q312" s="128">
        <v>0.017</v>
      </c>
      <c r="R312" s="128">
        <v>0</v>
      </c>
      <c r="S312" s="128">
        <v>5.24</v>
      </c>
      <c r="T312" s="128">
        <v>0.87</v>
      </c>
      <c r="V312" s="220"/>
      <c r="W312" s="220"/>
      <c r="X312" s="220"/>
    </row>
    <row r="313" spans="1:24" s="1" customFormat="1" ht="11.25" customHeight="1">
      <c r="A313" s="61" t="s">
        <v>31</v>
      </c>
      <c r="B313" s="62"/>
      <c r="C313" s="62"/>
      <c r="D313" s="65">
        <f aca="true" t="shared" si="85" ref="D313:T313">SUM(D311:D312)</f>
        <v>300</v>
      </c>
      <c r="E313" s="154">
        <f t="shared" si="85"/>
        <v>30</v>
      </c>
      <c r="F313" s="154">
        <f t="shared" si="85"/>
        <v>11.16</v>
      </c>
      <c r="G313" s="154">
        <f t="shared" si="85"/>
        <v>11.96</v>
      </c>
      <c r="H313" s="154">
        <f t="shared" si="85"/>
        <v>72.52</v>
      </c>
      <c r="I313" s="154">
        <f t="shared" si="85"/>
        <v>442.35999999999996</v>
      </c>
      <c r="J313" s="154">
        <f t="shared" si="85"/>
        <v>0.15</v>
      </c>
      <c r="K313" s="154">
        <f t="shared" si="85"/>
        <v>0.16</v>
      </c>
      <c r="L313" s="154">
        <f t="shared" si="85"/>
        <v>3.05</v>
      </c>
      <c r="M313" s="154">
        <f t="shared" si="85"/>
        <v>0.11</v>
      </c>
      <c r="N313" s="154">
        <f t="shared" si="85"/>
        <v>1.6600000000000001</v>
      </c>
      <c r="O313" s="154">
        <f t="shared" si="85"/>
        <v>85.3</v>
      </c>
      <c r="P313" s="154">
        <f t="shared" si="85"/>
        <v>145.23</v>
      </c>
      <c r="Q313" s="154">
        <f t="shared" si="85"/>
        <v>1.317</v>
      </c>
      <c r="R313" s="154">
        <f t="shared" si="85"/>
        <v>0.01</v>
      </c>
      <c r="S313" s="154">
        <f t="shared" si="85"/>
        <v>28.840000000000003</v>
      </c>
      <c r="T313" s="154">
        <f t="shared" si="85"/>
        <v>1.27</v>
      </c>
      <c r="U313" s="38"/>
      <c r="V313" s="220"/>
      <c r="W313" s="220"/>
      <c r="X313" s="220"/>
    </row>
    <row r="314" spans="1:24" s="1" customFormat="1" ht="11.25" customHeight="1">
      <c r="A314" s="229" t="s">
        <v>63</v>
      </c>
      <c r="B314" s="230"/>
      <c r="C314" s="230"/>
      <c r="D314" s="231"/>
      <c r="E314" s="181"/>
      <c r="F314" s="76">
        <f>F313/F316</f>
        <v>0.124</v>
      </c>
      <c r="G314" s="44">
        <f aca="true" t="shared" si="86" ref="G314:T314">G313/G316</f>
        <v>0.13</v>
      </c>
      <c r="H314" s="44">
        <f t="shared" si="86"/>
        <v>0.18934725848563969</v>
      </c>
      <c r="I314" s="44">
        <f t="shared" si="86"/>
        <v>0.16263235294117645</v>
      </c>
      <c r="J314" s="44">
        <f t="shared" si="86"/>
        <v>0.10714285714285715</v>
      </c>
      <c r="K314" s="44">
        <f t="shared" si="86"/>
        <v>0.09999999999999999</v>
      </c>
      <c r="L314" s="44">
        <f t="shared" si="86"/>
        <v>0.043571428571428567</v>
      </c>
      <c r="M314" s="44">
        <f t="shared" si="86"/>
        <v>0.12222222222222222</v>
      </c>
      <c r="N314" s="44">
        <f t="shared" si="86"/>
        <v>0.13833333333333334</v>
      </c>
      <c r="O314" s="44">
        <f t="shared" si="86"/>
        <v>0.07108333333333333</v>
      </c>
      <c r="P314" s="44">
        <f t="shared" si="86"/>
        <v>0.121025</v>
      </c>
      <c r="Q314" s="44">
        <f t="shared" si="86"/>
        <v>0.09407142857142857</v>
      </c>
      <c r="R314" s="44">
        <f t="shared" si="86"/>
        <v>0.09999999999999999</v>
      </c>
      <c r="S314" s="44">
        <f t="shared" si="86"/>
        <v>0.09613333333333335</v>
      </c>
      <c r="T314" s="44">
        <f t="shared" si="86"/>
        <v>0.07055555555555555</v>
      </c>
      <c r="U314" s="144"/>
      <c r="V314" s="178"/>
      <c r="W314" s="178"/>
      <c r="X314" s="178"/>
    </row>
    <row r="315" spans="1:24" s="1" customFormat="1" ht="11.25" customHeight="1">
      <c r="A315" s="259" t="s">
        <v>62</v>
      </c>
      <c r="B315" s="260"/>
      <c r="C315" s="260"/>
      <c r="D315" s="261"/>
      <c r="E315" s="174"/>
      <c r="F315" s="39">
        <f aca="true" t="shared" si="87" ref="F315:T315">SUM(F296,F307,F313)</f>
        <v>54.39083333333333</v>
      </c>
      <c r="G315" s="38">
        <f t="shared" si="87"/>
        <v>71.01416666666665</v>
      </c>
      <c r="H315" s="38">
        <f t="shared" si="87"/>
        <v>279.255</v>
      </c>
      <c r="I315" s="38">
        <f t="shared" si="87"/>
        <v>1973.900833333333</v>
      </c>
      <c r="J315" s="39">
        <f t="shared" si="87"/>
        <v>1.5108333333333335</v>
      </c>
      <c r="K315" s="39">
        <f t="shared" si="87"/>
        <v>0.7511666666666666</v>
      </c>
      <c r="L315" s="38">
        <f t="shared" si="87"/>
        <v>152.61583333333334</v>
      </c>
      <c r="M315" s="39">
        <f t="shared" si="87"/>
        <v>38.34975</v>
      </c>
      <c r="N315" s="39">
        <f t="shared" si="87"/>
        <v>10.628666666666668</v>
      </c>
      <c r="O315" s="38">
        <f t="shared" si="87"/>
        <v>707.1341666666666</v>
      </c>
      <c r="P315" s="38">
        <f t="shared" si="87"/>
        <v>910.3541666666666</v>
      </c>
      <c r="Q315" s="39">
        <f t="shared" si="87"/>
        <v>6.933333333333334</v>
      </c>
      <c r="R315" s="40">
        <f t="shared" si="87"/>
        <v>0.11166666666666666</v>
      </c>
      <c r="S315" s="39">
        <f t="shared" si="87"/>
        <v>235.13000000000002</v>
      </c>
      <c r="T315" s="39">
        <f t="shared" si="87"/>
        <v>10.856666666666666</v>
      </c>
      <c r="U315" s="42"/>
      <c r="V315" s="76">
        <f>AVERAGE(I297,I332,I367,I406,I442)</f>
        <v>0.251633425245098</v>
      </c>
      <c r="W315" s="76">
        <f>AVERAGE(I308,I342,I379,I417,I454)</f>
        <v>495.5511328125</v>
      </c>
      <c r="X315" s="76">
        <f>AVERAGE(I314,I349,I386,I423,I460)</f>
        <v>0.1009595588235294</v>
      </c>
    </row>
    <row r="316" spans="1:24" s="1" customFormat="1" ht="11.25" customHeight="1">
      <c r="A316" s="259" t="s">
        <v>64</v>
      </c>
      <c r="B316" s="260"/>
      <c r="C316" s="260"/>
      <c r="D316" s="261"/>
      <c r="E316" s="174"/>
      <c r="F316" s="148">
        <v>90</v>
      </c>
      <c r="G316" s="146">
        <v>92</v>
      </c>
      <c r="H316" s="146">
        <v>383</v>
      </c>
      <c r="I316" s="146">
        <v>2720</v>
      </c>
      <c r="J316" s="148">
        <v>1.4</v>
      </c>
      <c r="K316" s="148">
        <v>1.6</v>
      </c>
      <c r="L316" s="147">
        <v>70</v>
      </c>
      <c r="M316" s="148">
        <v>0.9</v>
      </c>
      <c r="N316" s="147">
        <v>12</v>
      </c>
      <c r="O316" s="147">
        <v>1200</v>
      </c>
      <c r="P316" s="147">
        <v>1200</v>
      </c>
      <c r="Q316" s="147">
        <v>14</v>
      </c>
      <c r="R316" s="146">
        <v>0.1</v>
      </c>
      <c r="S316" s="147">
        <v>300</v>
      </c>
      <c r="T316" s="148">
        <v>18</v>
      </c>
      <c r="U316" s="150"/>
      <c r="V316" s="151"/>
      <c r="W316" s="151"/>
      <c r="X316" s="151"/>
    </row>
    <row r="317" spans="1:24" s="1" customFormat="1" ht="11.25" customHeight="1">
      <c r="A317" s="229" t="s">
        <v>63</v>
      </c>
      <c r="B317" s="230"/>
      <c r="C317" s="230"/>
      <c r="D317" s="231"/>
      <c r="E317" s="181"/>
      <c r="F317" s="76">
        <f aca="true" t="shared" si="88" ref="F317:T317">F315/F316</f>
        <v>0.6043425925925926</v>
      </c>
      <c r="G317" s="44">
        <f t="shared" si="88"/>
        <v>0.7718931159420288</v>
      </c>
      <c r="H317" s="44">
        <f t="shared" si="88"/>
        <v>0.7291253263707572</v>
      </c>
      <c r="I317" s="44">
        <f t="shared" si="88"/>
        <v>0.7256988357843136</v>
      </c>
      <c r="J317" s="44">
        <f t="shared" si="88"/>
        <v>1.0791666666666668</v>
      </c>
      <c r="K317" s="44">
        <f t="shared" si="88"/>
        <v>0.4694791666666666</v>
      </c>
      <c r="L317" s="44">
        <f t="shared" si="88"/>
        <v>2.1802261904761906</v>
      </c>
      <c r="M317" s="45">
        <f>M315/M316</f>
        <v>42.61083333333333</v>
      </c>
      <c r="N317" s="44">
        <f t="shared" si="88"/>
        <v>0.8857222222222223</v>
      </c>
      <c r="O317" s="44">
        <f t="shared" si="88"/>
        <v>0.5892784722222222</v>
      </c>
      <c r="P317" s="44">
        <f t="shared" si="88"/>
        <v>0.7586284722222222</v>
      </c>
      <c r="Q317" s="44">
        <f t="shared" si="88"/>
        <v>0.49523809523809526</v>
      </c>
      <c r="R317" s="45">
        <f t="shared" si="88"/>
        <v>1.1166666666666665</v>
      </c>
      <c r="S317" s="44">
        <f t="shared" si="88"/>
        <v>0.7837666666666667</v>
      </c>
      <c r="T317" s="45">
        <f t="shared" si="88"/>
        <v>0.6031481481481481</v>
      </c>
      <c r="U317" s="46"/>
      <c r="V317" s="47"/>
      <c r="W317" s="47"/>
      <c r="X317" s="47"/>
    </row>
    <row r="318" spans="1:24" s="1" customFormat="1" ht="11.25" customHeight="1">
      <c r="A318" s="262" t="s">
        <v>44</v>
      </c>
      <c r="B318" s="262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62"/>
      <c r="N318" s="262"/>
      <c r="O318" s="262"/>
      <c r="P318" s="262"/>
      <c r="Q318" s="262"/>
      <c r="R318" s="262"/>
      <c r="S318" s="262"/>
      <c r="T318" s="262"/>
      <c r="U318" s="13"/>
      <c r="V318" s="25"/>
      <c r="W318" s="25"/>
      <c r="X318" s="25"/>
    </row>
    <row r="319" spans="1:24" s="1" customFormat="1" ht="11.25" customHeight="1">
      <c r="A319" s="58" t="s">
        <v>55</v>
      </c>
      <c r="B319" s="54"/>
      <c r="C319" s="54"/>
      <c r="D319" s="2"/>
      <c r="E319" s="2"/>
      <c r="F319" s="34"/>
      <c r="G319" s="240" t="s">
        <v>39</v>
      </c>
      <c r="H319" s="240"/>
      <c r="I319" s="240"/>
      <c r="J319" s="71"/>
      <c r="K319" s="71"/>
      <c r="L319" s="247" t="s">
        <v>2</v>
      </c>
      <c r="M319" s="247"/>
      <c r="N319" s="256"/>
      <c r="O319" s="256"/>
      <c r="P319" s="256"/>
      <c r="Q319" s="256"/>
      <c r="R319" s="71"/>
      <c r="S319" s="71"/>
      <c r="T319" s="71"/>
      <c r="U319" s="14"/>
      <c r="V319" s="20"/>
      <c r="W319" s="20"/>
      <c r="X319" s="20"/>
    </row>
    <row r="320" spans="1:24" s="1" customFormat="1" ht="11.25" customHeight="1">
      <c r="A320" s="54"/>
      <c r="B320" s="54"/>
      <c r="C320" s="54"/>
      <c r="D320" s="247" t="s">
        <v>3</v>
      </c>
      <c r="E320" s="247"/>
      <c r="F320" s="247"/>
      <c r="G320" s="7">
        <v>2</v>
      </c>
      <c r="H320" s="71"/>
      <c r="I320" s="2"/>
      <c r="J320" s="2"/>
      <c r="K320" s="2"/>
      <c r="L320" s="247" t="s">
        <v>4</v>
      </c>
      <c r="M320" s="247"/>
      <c r="N320" s="240" t="s">
        <v>57</v>
      </c>
      <c r="O320" s="240"/>
      <c r="P320" s="240"/>
      <c r="Q320" s="240"/>
      <c r="R320" s="240"/>
      <c r="S320" s="240"/>
      <c r="T320" s="240"/>
      <c r="U320" s="15"/>
      <c r="V320" s="21"/>
      <c r="W320" s="21"/>
      <c r="X320" s="21"/>
    </row>
    <row r="321" spans="1:24" s="1" customFormat="1" ht="21.75" customHeight="1">
      <c r="A321" s="241" t="s">
        <v>5</v>
      </c>
      <c r="B321" s="241" t="s">
        <v>6</v>
      </c>
      <c r="C321" s="241"/>
      <c r="D321" s="241" t="s">
        <v>7</v>
      </c>
      <c r="E321" s="119"/>
      <c r="F321" s="248" t="s">
        <v>8</v>
      </c>
      <c r="G321" s="249"/>
      <c r="H321" s="250"/>
      <c r="I321" s="241" t="s">
        <v>9</v>
      </c>
      <c r="J321" s="267" t="s">
        <v>10</v>
      </c>
      <c r="K321" s="267"/>
      <c r="L321" s="267"/>
      <c r="M321" s="267"/>
      <c r="N321" s="267"/>
      <c r="O321" s="267" t="s">
        <v>11</v>
      </c>
      <c r="P321" s="267"/>
      <c r="Q321" s="267"/>
      <c r="R321" s="267"/>
      <c r="S321" s="267"/>
      <c r="T321" s="267"/>
      <c r="U321" s="9"/>
      <c r="V321" s="22"/>
      <c r="W321" s="22"/>
      <c r="X321" s="22"/>
    </row>
    <row r="322" spans="1:24" s="1" customFormat="1" ht="21" customHeight="1">
      <c r="A322" s="242"/>
      <c r="B322" s="245"/>
      <c r="C322" s="246"/>
      <c r="D322" s="242"/>
      <c r="E322" s="118"/>
      <c r="F322" s="100" t="s">
        <v>12</v>
      </c>
      <c r="G322" s="112" t="s">
        <v>13</v>
      </c>
      <c r="H322" s="112" t="s">
        <v>14</v>
      </c>
      <c r="I322" s="242"/>
      <c r="J322" s="112" t="s">
        <v>15</v>
      </c>
      <c r="K322" s="112" t="s">
        <v>58</v>
      </c>
      <c r="L322" s="112" t="s">
        <v>16</v>
      </c>
      <c r="M322" s="112" t="s">
        <v>17</v>
      </c>
      <c r="N322" s="112" t="s">
        <v>18</v>
      </c>
      <c r="O322" s="112" t="s">
        <v>19</v>
      </c>
      <c r="P322" s="112" t="s">
        <v>20</v>
      </c>
      <c r="Q322" s="112" t="s">
        <v>59</v>
      </c>
      <c r="R322" s="112" t="s">
        <v>60</v>
      </c>
      <c r="S322" s="112" t="s">
        <v>21</v>
      </c>
      <c r="T322" s="112" t="s">
        <v>22</v>
      </c>
      <c r="U322" s="9"/>
      <c r="V322" s="22"/>
      <c r="W322" s="22"/>
      <c r="X322" s="22"/>
    </row>
    <row r="323" spans="1:24" s="1" customFormat="1" ht="11.25" customHeight="1">
      <c r="A323" s="113">
        <v>1</v>
      </c>
      <c r="B323" s="268">
        <v>2</v>
      </c>
      <c r="C323" s="268"/>
      <c r="D323" s="37">
        <v>3</v>
      </c>
      <c r="E323" s="37"/>
      <c r="F323" s="37">
        <v>4</v>
      </c>
      <c r="G323" s="37">
        <v>5</v>
      </c>
      <c r="H323" s="37">
        <v>6</v>
      </c>
      <c r="I323" s="37">
        <v>7</v>
      </c>
      <c r="J323" s="37">
        <v>8</v>
      </c>
      <c r="K323" s="37">
        <v>9</v>
      </c>
      <c r="L323" s="37">
        <v>10</v>
      </c>
      <c r="M323" s="37">
        <v>11</v>
      </c>
      <c r="N323" s="37">
        <v>12</v>
      </c>
      <c r="O323" s="37">
        <v>13</v>
      </c>
      <c r="P323" s="37">
        <v>14</v>
      </c>
      <c r="Q323" s="37">
        <v>15</v>
      </c>
      <c r="R323" s="37">
        <v>16</v>
      </c>
      <c r="S323" s="37">
        <v>17</v>
      </c>
      <c r="T323" s="37">
        <v>18</v>
      </c>
      <c r="U323" s="10"/>
      <c r="V323" s="23"/>
      <c r="W323" s="23"/>
      <c r="X323" s="23"/>
    </row>
    <row r="324" spans="1:24" s="1" customFormat="1" ht="11.25" customHeight="1">
      <c r="A324" s="232" t="s">
        <v>26</v>
      </c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4"/>
      <c r="U324" s="11"/>
      <c r="V324" s="24"/>
      <c r="W324" s="24"/>
      <c r="X324" s="24"/>
    </row>
    <row r="325" spans="1:24" s="1" customFormat="1" ht="11.25" customHeight="1">
      <c r="A325" s="82">
        <v>131</v>
      </c>
      <c r="B325" s="221" t="s">
        <v>82</v>
      </c>
      <c r="C325" s="222"/>
      <c r="D325" s="70">
        <v>30</v>
      </c>
      <c r="E325" s="148">
        <v>6.45</v>
      </c>
      <c r="F325" s="72">
        <f>4.6*D325/20</f>
        <v>6.9</v>
      </c>
      <c r="G325" s="68">
        <f>0.24*D325/20</f>
        <v>0.36</v>
      </c>
      <c r="H325" s="72">
        <f>10.66*D325/20</f>
        <v>15.99</v>
      </c>
      <c r="I325" s="72">
        <f aca="true" t="shared" si="89" ref="I325:I330">F325*4+G325*9+H325*4</f>
        <v>94.8</v>
      </c>
      <c r="J325" s="68">
        <f>0.16*D325/20</f>
        <v>0.24</v>
      </c>
      <c r="K325" s="68">
        <f>0.04*D325/20</f>
        <v>0.06</v>
      </c>
      <c r="L325" s="70">
        <v>0</v>
      </c>
      <c r="M325" s="73">
        <f>0.002*D325/20</f>
        <v>0.003</v>
      </c>
      <c r="N325" s="68">
        <f>1.82*D325/20</f>
        <v>2.73</v>
      </c>
      <c r="O325" s="69">
        <f>23*D325/20</f>
        <v>34.5</v>
      </c>
      <c r="P325" s="69">
        <f>65.8*D325/20</f>
        <v>98.7</v>
      </c>
      <c r="Q325" s="72">
        <f>0.64*D325/20</f>
        <v>0.96</v>
      </c>
      <c r="R325" s="73">
        <f>0.00102*D325/20</f>
        <v>0.0015300000000000001</v>
      </c>
      <c r="S325" s="69">
        <f>21.4*D325/20</f>
        <v>32.1</v>
      </c>
      <c r="T325" s="73">
        <f>0.004*D325/20</f>
        <v>0.006</v>
      </c>
      <c r="U325" s="11"/>
      <c r="V325" s="24"/>
      <c r="W325" s="24"/>
      <c r="X325" s="24"/>
    </row>
    <row r="326" spans="1:24" s="3" customFormat="1" ht="15" customHeight="1">
      <c r="A326" s="121">
        <v>15</v>
      </c>
      <c r="B326" s="221" t="s">
        <v>79</v>
      </c>
      <c r="C326" s="222"/>
      <c r="D326" s="70">
        <v>20</v>
      </c>
      <c r="E326" s="148">
        <v>12.8</v>
      </c>
      <c r="F326" s="72">
        <f>2.32*D326/10</f>
        <v>4.64</v>
      </c>
      <c r="G326" s="72">
        <f>3.4*D326/10</f>
        <v>6.8</v>
      </c>
      <c r="H326" s="72">
        <f>0.01*D326/10</f>
        <v>0.02</v>
      </c>
      <c r="I326" s="72">
        <f t="shared" si="89"/>
        <v>79.83999999999999</v>
      </c>
      <c r="J326" s="72">
        <f>0.004*D326/10</f>
        <v>0.008</v>
      </c>
      <c r="K326" s="72">
        <f>0.03*D326/10</f>
        <v>0.06</v>
      </c>
      <c r="L326" s="72">
        <f>0.07*D326/10</f>
        <v>0.14</v>
      </c>
      <c r="M326" s="73">
        <f>0.023*D326/10</f>
        <v>0.046</v>
      </c>
      <c r="N326" s="72">
        <f>0.05*D326/10</f>
        <v>0.1</v>
      </c>
      <c r="O326" s="72">
        <f>88*D326/10</f>
        <v>176</v>
      </c>
      <c r="P326" s="72">
        <f>50*D326/10</f>
        <v>100</v>
      </c>
      <c r="Q326" s="72">
        <f>0.4*D326/10</f>
        <v>0.8</v>
      </c>
      <c r="R326" s="73">
        <f>0.02*D326/10</f>
        <v>0.04</v>
      </c>
      <c r="S326" s="72">
        <f>3.5*D326/10</f>
        <v>7</v>
      </c>
      <c r="T326" s="72">
        <f>0.13*D326/10</f>
        <v>0.26</v>
      </c>
      <c r="U326" s="74"/>
      <c r="V326" s="75"/>
      <c r="W326" s="75"/>
      <c r="X326" s="75"/>
    </row>
    <row r="327" spans="1:24" s="3" customFormat="1" ht="12.75" customHeight="1">
      <c r="A327" s="113">
        <v>210</v>
      </c>
      <c r="B327" s="221" t="s">
        <v>48</v>
      </c>
      <c r="C327" s="222"/>
      <c r="D327" s="70">
        <v>250</v>
      </c>
      <c r="E327" s="148">
        <v>31.45</v>
      </c>
      <c r="F327" s="72">
        <f>16.29*D327/200</f>
        <v>20.3625</v>
      </c>
      <c r="G327" s="72">
        <f>18.99*D327/200</f>
        <v>23.7375</v>
      </c>
      <c r="H327" s="72">
        <f>5.04*D327/200</f>
        <v>6.3</v>
      </c>
      <c r="I327" s="72">
        <f t="shared" si="89"/>
        <v>320.2875</v>
      </c>
      <c r="J327" s="72">
        <f>0.117*D327/200</f>
        <v>0.14625</v>
      </c>
      <c r="K327" s="72">
        <f>0.27*D327/200</f>
        <v>0.3375</v>
      </c>
      <c r="L327" s="72">
        <f>0.324*D327/200</f>
        <v>0.405</v>
      </c>
      <c r="M327" s="72">
        <f>0.036*D327/200</f>
        <v>0.045</v>
      </c>
      <c r="N327" s="68">
        <f>1.94*D327/200</f>
        <v>2.425</v>
      </c>
      <c r="O327" s="72">
        <f>131.38*D327/200</f>
        <v>164.225</v>
      </c>
      <c r="P327" s="72">
        <f>248.5*D327/200</f>
        <v>310.625</v>
      </c>
      <c r="Q327" s="72">
        <f>1.35*D327/200</f>
        <v>1.6875</v>
      </c>
      <c r="R327" s="72">
        <f>0.03*D327/200</f>
        <v>0.0375</v>
      </c>
      <c r="S327" s="72">
        <f>21.55*D327/200</f>
        <v>26.9375</v>
      </c>
      <c r="T327" s="72">
        <f>1.51*D327/200</f>
        <v>1.8875</v>
      </c>
      <c r="U327" s="74"/>
      <c r="V327" s="75"/>
      <c r="W327" s="75"/>
      <c r="X327" s="75"/>
    </row>
    <row r="328" spans="1:24" s="71" customFormat="1" ht="11.25">
      <c r="A328" s="66">
        <v>338</v>
      </c>
      <c r="B328" s="221" t="s">
        <v>112</v>
      </c>
      <c r="C328" s="222"/>
      <c r="D328" s="70">
        <v>100</v>
      </c>
      <c r="E328" s="148">
        <v>12.59</v>
      </c>
      <c r="F328" s="72">
        <v>0.9</v>
      </c>
      <c r="G328" s="68">
        <v>0.2</v>
      </c>
      <c r="H328" s="69">
        <v>8.1</v>
      </c>
      <c r="I328" s="72">
        <f t="shared" si="89"/>
        <v>37.8</v>
      </c>
      <c r="J328" s="72">
        <v>0.04</v>
      </c>
      <c r="K328" s="72">
        <v>0.03</v>
      </c>
      <c r="L328" s="72">
        <v>60</v>
      </c>
      <c r="M328" s="72">
        <v>0.008</v>
      </c>
      <c r="N328" s="68">
        <v>0.2</v>
      </c>
      <c r="O328" s="72">
        <v>34</v>
      </c>
      <c r="P328" s="72">
        <v>23</v>
      </c>
      <c r="Q328" s="73">
        <v>0.2</v>
      </c>
      <c r="R328" s="72">
        <v>0.002</v>
      </c>
      <c r="S328" s="72">
        <v>15</v>
      </c>
      <c r="T328" s="72">
        <v>0.3</v>
      </c>
      <c r="U328" s="74"/>
      <c r="V328" s="75"/>
      <c r="W328" s="75"/>
      <c r="X328" s="75"/>
    </row>
    <row r="329" spans="1:24" s="140" customFormat="1" ht="11.25" customHeight="1">
      <c r="A329" s="156">
        <v>377</v>
      </c>
      <c r="B329" s="255" t="s">
        <v>45</v>
      </c>
      <c r="C329" s="255"/>
      <c r="D329" s="147">
        <v>200</v>
      </c>
      <c r="E329" s="148">
        <v>3.61</v>
      </c>
      <c r="F329" s="148">
        <v>0.26</v>
      </c>
      <c r="G329" s="148">
        <v>0.06</v>
      </c>
      <c r="H329" s="148">
        <v>15.22</v>
      </c>
      <c r="I329" s="148">
        <f t="shared" si="89"/>
        <v>62.46</v>
      </c>
      <c r="J329" s="148"/>
      <c r="K329" s="148">
        <v>0.01</v>
      </c>
      <c r="L329" s="148">
        <v>2.9</v>
      </c>
      <c r="M329" s="145">
        <v>0</v>
      </c>
      <c r="N329" s="148">
        <v>0.06</v>
      </c>
      <c r="O329" s="148">
        <v>8.05</v>
      </c>
      <c r="P329" s="148">
        <v>9.78</v>
      </c>
      <c r="Q329" s="148">
        <v>0.017</v>
      </c>
      <c r="R329" s="149">
        <v>0</v>
      </c>
      <c r="S329" s="148">
        <v>5.24</v>
      </c>
      <c r="T329" s="148">
        <v>0.87</v>
      </c>
      <c r="U329" s="150"/>
      <c r="V329" s="151"/>
      <c r="W329" s="151"/>
      <c r="X329" s="151"/>
    </row>
    <row r="330" spans="1:24" s="3" customFormat="1" ht="12.75" customHeight="1">
      <c r="A330" s="77" t="s">
        <v>67</v>
      </c>
      <c r="B330" s="221" t="s">
        <v>53</v>
      </c>
      <c r="C330" s="222"/>
      <c r="D330" s="70">
        <v>40</v>
      </c>
      <c r="E330" s="148">
        <v>3.1</v>
      </c>
      <c r="F330" s="72">
        <f>1.52*D330/30</f>
        <v>2.0266666666666664</v>
      </c>
      <c r="G330" s="73">
        <f>0.16*D330/30</f>
        <v>0.21333333333333335</v>
      </c>
      <c r="H330" s="73">
        <f>9.84*D330/30</f>
        <v>13.120000000000001</v>
      </c>
      <c r="I330" s="73">
        <f t="shared" si="89"/>
        <v>62.50666666666667</v>
      </c>
      <c r="J330" s="73">
        <f>0.02*D330/30</f>
        <v>0.02666666666666667</v>
      </c>
      <c r="K330" s="73">
        <f>0.01*D330/30</f>
        <v>0.013333333333333334</v>
      </c>
      <c r="L330" s="73">
        <f>0.44*D330/30</f>
        <v>0.5866666666666667</v>
      </c>
      <c r="M330" s="73">
        <v>0</v>
      </c>
      <c r="N330" s="73">
        <f>0.7*D330/30</f>
        <v>0.9333333333333333</v>
      </c>
      <c r="O330" s="73">
        <f>4*D330/30</f>
        <v>5.333333333333333</v>
      </c>
      <c r="P330" s="73">
        <f>13*D330/30</f>
        <v>17.333333333333332</v>
      </c>
      <c r="Q330" s="73">
        <f>0.008*D330/30</f>
        <v>0.010666666666666666</v>
      </c>
      <c r="R330" s="73">
        <f>0.001*D330/30</f>
        <v>0.0013333333333333333</v>
      </c>
      <c r="S330" s="73">
        <v>0</v>
      </c>
      <c r="T330" s="73">
        <f>0.22*D330/30</f>
        <v>0.29333333333333333</v>
      </c>
      <c r="U330" s="74"/>
      <c r="V330" s="75"/>
      <c r="W330" s="75"/>
      <c r="X330" s="75"/>
    </row>
    <row r="331" spans="1:24" s="3" customFormat="1" ht="11.25" customHeight="1">
      <c r="A331" s="61" t="s">
        <v>27</v>
      </c>
      <c r="B331" s="62"/>
      <c r="C331" s="62"/>
      <c r="D331" s="65">
        <f>SUM(D325:D330)</f>
        <v>640</v>
      </c>
      <c r="E331" s="154">
        <f>SUM(E325:E330)</f>
        <v>70</v>
      </c>
      <c r="F331" s="39">
        <f aca="true" t="shared" si="90" ref="F331:T331">SUM(F325:F330)</f>
        <v>35.089166666666664</v>
      </c>
      <c r="G331" s="49">
        <f t="shared" si="90"/>
        <v>31.370833333333334</v>
      </c>
      <c r="H331" s="49">
        <f t="shared" si="90"/>
        <v>58.75</v>
      </c>
      <c r="I331" s="38">
        <f t="shared" si="90"/>
        <v>657.6941666666667</v>
      </c>
      <c r="J331" s="39">
        <f t="shared" si="90"/>
        <v>0.46091666666666664</v>
      </c>
      <c r="K331" s="39">
        <f t="shared" si="90"/>
        <v>0.5108333333333334</v>
      </c>
      <c r="L331" s="39">
        <f t="shared" si="90"/>
        <v>64.03166666666667</v>
      </c>
      <c r="M331" s="39">
        <f t="shared" si="90"/>
        <v>0.10200000000000001</v>
      </c>
      <c r="N331" s="38">
        <f t="shared" si="90"/>
        <v>6.448333333333333</v>
      </c>
      <c r="O331" s="38">
        <f t="shared" si="90"/>
        <v>422.10833333333335</v>
      </c>
      <c r="P331" s="38">
        <f t="shared" si="90"/>
        <v>559.4383333333334</v>
      </c>
      <c r="Q331" s="38">
        <f t="shared" si="90"/>
        <v>3.6751666666666667</v>
      </c>
      <c r="R331" s="39">
        <f t="shared" si="90"/>
        <v>0.08236333333333333</v>
      </c>
      <c r="S331" s="38">
        <f t="shared" si="90"/>
        <v>86.27749999999999</v>
      </c>
      <c r="T331" s="39">
        <f t="shared" si="90"/>
        <v>3.6168333333333336</v>
      </c>
      <c r="U331" s="38"/>
      <c r="V331" s="41"/>
      <c r="W331" s="41"/>
      <c r="X331" s="41"/>
    </row>
    <row r="332" spans="1:24" s="3" customFormat="1" ht="11.25" customHeight="1">
      <c r="A332" s="229" t="s">
        <v>63</v>
      </c>
      <c r="B332" s="230"/>
      <c r="C332" s="230"/>
      <c r="D332" s="231"/>
      <c r="E332" s="115"/>
      <c r="F332" s="106">
        <f aca="true" t="shared" si="91" ref="F332:T332">F331/F351</f>
        <v>0.3898796296296296</v>
      </c>
      <c r="G332" s="44">
        <f t="shared" si="91"/>
        <v>0.3409873188405797</v>
      </c>
      <c r="H332" s="44">
        <f t="shared" si="91"/>
        <v>0.15339425587467362</v>
      </c>
      <c r="I332" s="44">
        <f t="shared" si="91"/>
        <v>0.24179932598039217</v>
      </c>
      <c r="J332" s="44">
        <f t="shared" si="91"/>
        <v>0.3292261904761905</v>
      </c>
      <c r="K332" s="44">
        <f t="shared" si="91"/>
        <v>0.31927083333333334</v>
      </c>
      <c r="L332" s="44">
        <f t="shared" si="91"/>
        <v>0.9147380952380952</v>
      </c>
      <c r="M332" s="44">
        <f t="shared" si="91"/>
        <v>0.11333333333333334</v>
      </c>
      <c r="N332" s="44">
        <f t="shared" si="91"/>
        <v>0.5373611111111111</v>
      </c>
      <c r="O332" s="44">
        <f t="shared" si="91"/>
        <v>0.35175694444444444</v>
      </c>
      <c r="P332" s="44">
        <f t="shared" si="91"/>
        <v>0.46619861111111116</v>
      </c>
      <c r="Q332" s="44">
        <f t="shared" si="91"/>
        <v>0.2625119047619048</v>
      </c>
      <c r="R332" s="44">
        <f t="shared" si="91"/>
        <v>0.8236333333333332</v>
      </c>
      <c r="S332" s="44">
        <f t="shared" si="91"/>
        <v>0.28759166666666663</v>
      </c>
      <c r="T332" s="44">
        <f t="shared" si="91"/>
        <v>0.2009351851851852</v>
      </c>
      <c r="U332" s="48"/>
      <c r="V332" s="41"/>
      <c r="W332" s="41"/>
      <c r="X332" s="41"/>
    </row>
    <row r="333" spans="1:24" s="140" customFormat="1" ht="11.25" customHeight="1">
      <c r="A333" s="158"/>
      <c r="B333" s="159"/>
      <c r="C333" s="159"/>
      <c r="D333" s="159"/>
      <c r="E333" s="170">
        <f>70-E331</f>
        <v>0</v>
      </c>
      <c r="F333" s="155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9"/>
      <c r="U333" s="144"/>
      <c r="V333" s="142"/>
      <c r="W333" s="142"/>
      <c r="X333" s="142"/>
    </row>
    <row r="334" spans="1:24" s="3" customFormat="1" ht="11.25" customHeight="1">
      <c r="A334" s="232" t="s">
        <v>28</v>
      </c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4"/>
      <c r="U334" s="11"/>
      <c r="V334" s="24"/>
      <c r="W334" s="24"/>
      <c r="X334" s="24"/>
    </row>
    <row r="335" spans="1:24" s="140" customFormat="1" ht="22.5" customHeight="1">
      <c r="A335" s="156">
        <v>56</v>
      </c>
      <c r="B335" s="255" t="s">
        <v>115</v>
      </c>
      <c r="C335" s="255"/>
      <c r="D335" s="147">
        <v>100</v>
      </c>
      <c r="E335" s="148">
        <v>7.39</v>
      </c>
      <c r="F335" s="148">
        <f>0.9*D335/60</f>
        <v>1.5</v>
      </c>
      <c r="G335" s="146">
        <f>3.1*D335/60</f>
        <v>5.166666666666667</v>
      </c>
      <c r="H335" s="146">
        <f>5.6*D335/60</f>
        <v>9.333333333333334</v>
      </c>
      <c r="I335" s="148">
        <f aca="true" t="shared" si="92" ref="I335:I341">F335*4+G335*9+H335*4</f>
        <v>89.83333333333334</v>
      </c>
      <c r="J335" s="149">
        <f>0.1*D335/60</f>
        <v>0.16666666666666666</v>
      </c>
      <c r="K335" s="149">
        <f>0.1*D335/60</f>
        <v>0.16666666666666666</v>
      </c>
      <c r="L335" s="148">
        <f>12.3*D335/60</f>
        <v>20.5</v>
      </c>
      <c r="M335" s="149">
        <f>0.02*D335/60</f>
        <v>0.03333333333333333</v>
      </c>
      <c r="N335" s="149">
        <f>0.5*D335/60</f>
        <v>0.8333333333333334</v>
      </c>
      <c r="O335" s="146">
        <f>59.9*D335/60</f>
        <v>99.83333333333333</v>
      </c>
      <c r="P335" s="146">
        <f>31.3*D335/60</f>
        <v>52.166666666666664</v>
      </c>
      <c r="Q335" s="152">
        <f>0.4228*D335/60</f>
        <v>0.7046666666666667</v>
      </c>
      <c r="R335" s="149">
        <f>0.003*D335/60</f>
        <v>0.005</v>
      </c>
      <c r="S335" s="146">
        <f>16.3*D335/60</f>
        <v>27.166666666666668</v>
      </c>
      <c r="T335" s="148">
        <f>0.7*D335/60</f>
        <v>1.1666666666666667</v>
      </c>
      <c r="U335" s="150"/>
      <c r="V335" s="151"/>
      <c r="W335" s="151"/>
      <c r="X335" s="151"/>
    </row>
    <row r="336" spans="1:24" s="140" customFormat="1" ht="22.5" customHeight="1">
      <c r="A336" s="197">
        <v>102</v>
      </c>
      <c r="B336" s="221" t="s">
        <v>96</v>
      </c>
      <c r="C336" s="222"/>
      <c r="D336" s="145">
        <v>250</v>
      </c>
      <c r="E336" s="148">
        <v>10.22</v>
      </c>
      <c r="F336" s="148">
        <v>6.22</v>
      </c>
      <c r="G336" s="148">
        <v>3.99</v>
      </c>
      <c r="H336" s="148">
        <v>21.73</v>
      </c>
      <c r="I336" s="148">
        <f t="shared" si="92"/>
        <v>147.71</v>
      </c>
      <c r="J336" s="148">
        <v>0.27</v>
      </c>
      <c r="K336" s="148">
        <v>0.09</v>
      </c>
      <c r="L336" s="148">
        <v>9</v>
      </c>
      <c r="M336" s="149">
        <v>0.001</v>
      </c>
      <c r="N336" s="148">
        <v>0.257</v>
      </c>
      <c r="O336" s="148">
        <v>54.13</v>
      </c>
      <c r="P336" s="148">
        <v>183.2</v>
      </c>
      <c r="Q336" s="148">
        <v>1.157</v>
      </c>
      <c r="R336" s="149">
        <v>0.013</v>
      </c>
      <c r="S336" s="148">
        <v>49.63</v>
      </c>
      <c r="T336" s="148">
        <v>1.03</v>
      </c>
      <c r="U336" s="150"/>
      <c r="V336" s="151"/>
      <c r="W336" s="151"/>
      <c r="X336" s="151"/>
    </row>
    <row r="337" spans="1:24" s="140" customFormat="1" ht="23.25" customHeight="1">
      <c r="A337" s="219">
        <v>266</v>
      </c>
      <c r="B337" s="221" t="s">
        <v>91</v>
      </c>
      <c r="C337" s="222"/>
      <c r="D337" s="147">
        <v>100</v>
      </c>
      <c r="E337" s="148">
        <v>44.81</v>
      </c>
      <c r="F337" s="148">
        <v>16.68</v>
      </c>
      <c r="G337" s="148">
        <v>23.27</v>
      </c>
      <c r="H337" s="148">
        <v>4.28</v>
      </c>
      <c r="I337" s="148">
        <v>293</v>
      </c>
      <c r="J337" s="148">
        <v>0.203</v>
      </c>
      <c r="K337" s="148">
        <v>0.23</v>
      </c>
      <c r="L337" s="148">
        <v>0.48</v>
      </c>
      <c r="M337" s="148">
        <f>0.04*D337/80</f>
        <v>0.05</v>
      </c>
      <c r="N337" s="145">
        <v>0.068</v>
      </c>
      <c r="O337" s="146">
        <v>54.5</v>
      </c>
      <c r="P337" s="146">
        <v>200.14</v>
      </c>
      <c r="Q337" s="148">
        <v>2.56</v>
      </c>
      <c r="R337" s="149">
        <f>0.04*D337/80</f>
        <v>0.05</v>
      </c>
      <c r="S337" s="146">
        <v>27.5</v>
      </c>
      <c r="T337" s="148">
        <v>2.17</v>
      </c>
      <c r="U337" s="150"/>
      <c r="V337" s="151"/>
      <c r="W337" s="151"/>
      <c r="X337" s="151"/>
    </row>
    <row r="338" spans="1:24" s="3" customFormat="1" ht="12.75" customHeight="1">
      <c r="A338" s="77">
        <v>171</v>
      </c>
      <c r="B338" s="221" t="s">
        <v>24</v>
      </c>
      <c r="C338" s="222"/>
      <c r="D338" s="70">
        <v>180</v>
      </c>
      <c r="E338" s="148">
        <v>13.8</v>
      </c>
      <c r="F338" s="72">
        <f>6.57*D338/150</f>
        <v>7.884000000000001</v>
      </c>
      <c r="G338" s="72">
        <f>4.19*D338/150</f>
        <v>5.0280000000000005</v>
      </c>
      <c r="H338" s="72">
        <f>32.32*D338/150</f>
        <v>38.784</v>
      </c>
      <c r="I338" s="72">
        <f t="shared" si="92"/>
        <v>231.924</v>
      </c>
      <c r="J338" s="73">
        <f>0.06*D338/150</f>
        <v>0.072</v>
      </c>
      <c r="K338" s="73">
        <f>0.03*D338/150</f>
        <v>0.036</v>
      </c>
      <c r="L338" s="68">
        <v>0</v>
      </c>
      <c r="M338" s="73">
        <f>0.03*D338/150</f>
        <v>0.036</v>
      </c>
      <c r="N338" s="68">
        <f>2.55*D338/150</f>
        <v>3.0599999999999996</v>
      </c>
      <c r="O338" s="72">
        <f>18.12*D338/150</f>
        <v>21.744000000000003</v>
      </c>
      <c r="P338" s="72">
        <f>157.03*D338/150</f>
        <v>188.436</v>
      </c>
      <c r="Q338" s="73">
        <f>0.8874*D338/150</f>
        <v>1.06488</v>
      </c>
      <c r="R338" s="73">
        <f>0.00135*D338/150</f>
        <v>0.0016200000000000001</v>
      </c>
      <c r="S338" s="72">
        <f>104.45*D338/150</f>
        <v>125.34</v>
      </c>
      <c r="T338" s="72">
        <f>3.55*D338/150</f>
        <v>4.26</v>
      </c>
      <c r="U338" s="74"/>
      <c r="V338" s="75"/>
      <c r="W338" s="75"/>
      <c r="X338" s="75"/>
    </row>
    <row r="339" spans="1:24" ht="11.25">
      <c r="A339" s="189">
        <v>699</v>
      </c>
      <c r="B339" s="251" t="s">
        <v>114</v>
      </c>
      <c r="C339" s="252"/>
      <c r="D339" s="190">
        <v>200</v>
      </c>
      <c r="E339" s="191">
        <v>7.5</v>
      </c>
      <c r="F339" s="191">
        <v>0.1</v>
      </c>
      <c r="G339" s="192">
        <v>0</v>
      </c>
      <c r="H339" s="193">
        <v>15.7</v>
      </c>
      <c r="I339" s="191">
        <v>63.2</v>
      </c>
      <c r="J339" s="192">
        <v>0.018</v>
      </c>
      <c r="K339" s="192">
        <v>0.012</v>
      </c>
      <c r="L339" s="193">
        <v>8</v>
      </c>
      <c r="M339" s="192">
        <v>0</v>
      </c>
      <c r="N339" s="191">
        <v>0.2</v>
      </c>
      <c r="O339" s="191">
        <v>10.8</v>
      </c>
      <c r="P339" s="191">
        <v>1.7</v>
      </c>
      <c r="Q339" s="191">
        <v>0</v>
      </c>
      <c r="R339" s="194">
        <v>0</v>
      </c>
      <c r="S339" s="191">
        <v>5.8</v>
      </c>
      <c r="T339" s="191">
        <v>1.6</v>
      </c>
      <c r="U339"/>
      <c r="V339"/>
      <c r="W339"/>
      <c r="X339"/>
    </row>
    <row r="340" spans="1:24" s="3" customFormat="1" ht="11.25" customHeight="1">
      <c r="A340" s="78" t="s">
        <v>67</v>
      </c>
      <c r="B340" s="221" t="s">
        <v>46</v>
      </c>
      <c r="C340" s="222"/>
      <c r="D340" s="70">
        <v>50</v>
      </c>
      <c r="E340" s="148">
        <v>2.43</v>
      </c>
      <c r="F340" s="72">
        <f>2.64*D340/40</f>
        <v>3.3</v>
      </c>
      <c r="G340" s="72">
        <f>0.48*D340/40</f>
        <v>0.6</v>
      </c>
      <c r="H340" s="72">
        <f>13.68*D340/40</f>
        <v>17.1</v>
      </c>
      <c r="I340" s="69">
        <f t="shared" si="92"/>
        <v>87</v>
      </c>
      <c r="J340" s="68">
        <f>0.08*D340/40</f>
        <v>0.1</v>
      </c>
      <c r="K340" s="72">
        <f>0.04*D340/40</f>
        <v>0.05</v>
      </c>
      <c r="L340" s="70">
        <v>0</v>
      </c>
      <c r="M340" s="70">
        <v>0</v>
      </c>
      <c r="N340" s="72">
        <f>2.4*D340/40</f>
        <v>3</v>
      </c>
      <c r="O340" s="72">
        <f>14*D340/40</f>
        <v>17.5</v>
      </c>
      <c r="P340" s="72">
        <f>63.2*D340/40</f>
        <v>79</v>
      </c>
      <c r="Q340" s="72">
        <f>1.2*D340/40</f>
        <v>1.5</v>
      </c>
      <c r="R340" s="73">
        <f>0.001*D340/40</f>
        <v>0.00125</v>
      </c>
      <c r="S340" s="72">
        <f>9.4*D340/40</f>
        <v>11.75</v>
      </c>
      <c r="T340" s="68">
        <f>0.78*D340/40</f>
        <v>0.975</v>
      </c>
      <c r="U340" s="30"/>
      <c r="V340" s="31"/>
      <c r="W340" s="31"/>
      <c r="X340" s="31"/>
    </row>
    <row r="341" spans="1:24" s="3" customFormat="1" ht="11.25" customHeight="1">
      <c r="A341" s="77" t="s">
        <v>67</v>
      </c>
      <c r="B341" s="221" t="s">
        <v>53</v>
      </c>
      <c r="C341" s="222"/>
      <c r="D341" s="70">
        <v>50</v>
      </c>
      <c r="E341" s="148">
        <v>3.85</v>
      </c>
      <c r="F341" s="72">
        <f>1.52*D341/30</f>
        <v>2.533333333333333</v>
      </c>
      <c r="G341" s="73">
        <f>0.16*D341/30</f>
        <v>0.26666666666666666</v>
      </c>
      <c r="H341" s="73">
        <f>9.84*D341/30</f>
        <v>16.4</v>
      </c>
      <c r="I341" s="73">
        <f t="shared" si="92"/>
        <v>78.13333333333333</v>
      </c>
      <c r="J341" s="73">
        <f>0.02*D341/30</f>
        <v>0.03333333333333333</v>
      </c>
      <c r="K341" s="73">
        <f>0.01*D341/30</f>
        <v>0.016666666666666666</v>
      </c>
      <c r="L341" s="73">
        <f>0.44*D341/30</f>
        <v>0.7333333333333333</v>
      </c>
      <c r="M341" s="73">
        <v>0</v>
      </c>
      <c r="N341" s="73">
        <f>0.7*D341/30</f>
        <v>1.1666666666666667</v>
      </c>
      <c r="O341" s="73">
        <f>4*D341/30</f>
        <v>6.666666666666667</v>
      </c>
      <c r="P341" s="73">
        <f>13*D341/30</f>
        <v>21.666666666666668</v>
      </c>
      <c r="Q341" s="73">
        <f>0.008*D341/30</f>
        <v>0.013333333333333334</v>
      </c>
      <c r="R341" s="73">
        <f>0.001*D341/30</f>
        <v>0.0016666666666666668</v>
      </c>
      <c r="S341" s="73">
        <v>0</v>
      </c>
      <c r="T341" s="73">
        <f>0.22*D341/30</f>
        <v>0.36666666666666664</v>
      </c>
      <c r="U341" s="74"/>
      <c r="V341" s="75"/>
      <c r="W341" s="75"/>
      <c r="X341" s="75"/>
    </row>
    <row r="342" spans="1:24" s="3" customFormat="1" ht="11.25" customHeight="1">
      <c r="A342" s="61" t="s">
        <v>29</v>
      </c>
      <c r="B342" s="62"/>
      <c r="C342" s="62"/>
      <c r="D342" s="65">
        <f aca="true" t="shared" si="93" ref="D342:I342">SUM(D335:D341)</f>
        <v>930</v>
      </c>
      <c r="E342" s="154">
        <f t="shared" si="93"/>
        <v>90</v>
      </c>
      <c r="F342" s="39">
        <f t="shared" si="93"/>
        <v>38.21733333333333</v>
      </c>
      <c r="G342" s="38">
        <f t="shared" si="93"/>
        <v>38.32133333333333</v>
      </c>
      <c r="H342" s="38">
        <f t="shared" si="93"/>
        <v>123.32733333333334</v>
      </c>
      <c r="I342" s="38">
        <f t="shared" si="93"/>
        <v>990.8006666666666</v>
      </c>
      <c r="J342" s="38">
        <f aca="true" t="shared" si="94" ref="J342:T342">SUM(J335:J341)</f>
        <v>0.8629999999999999</v>
      </c>
      <c r="K342" s="39">
        <f t="shared" si="94"/>
        <v>0.6013333333333335</v>
      </c>
      <c r="L342" s="38">
        <f t="shared" si="94"/>
        <v>38.71333333333334</v>
      </c>
      <c r="M342" s="38">
        <f t="shared" si="94"/>
        <v>0.12033333333333335</v>
      </c>
      <c r="N342" s="43">
        <f t="shared" si="94"/>
        <v>8.584999999999999</v>
      </c>
      <c r="O342" s="38">
        <f t="shared" si="94"/>
        <v>265.17400000000004</v>
      </c>
      <c r="P342" s="38">
        <f t="shared" si="94"/>
        <v>726.3093333333334</v>
      </c>
      <c r="Q342" s="38">
        <f t="shared" si="94"/>
        <v>6.999880000000001</v>
      </c>
      <c r="R342" s="40">
        <f t="shared" si="94"/>
        <v>0.07253666666666667</v>
      </c>
      <c r="S342" s="38">
        <f t="shared" si="94"/>
        <v>247.18666666666667</v>
      </c>
      <c r="T342" s="39">
        <f t="shared" si="94"/>
        <v>11.568333333333333</v>
      </c>
      <c r="U342" s="38"/>
      <c r="V342" s="41"/>
      <c r="W342" s="41"/>
      <c r="X342" s="41"/>
    </row>
    <row r="343" spans="1:24" s="3" customFormat="1" ht="11.25" customHeight="1">
      <c r="A343" s="229" t="s">
        <v>63</v>
      </c>
      <c r="B343" s="230"/>
      <c r="C343" s="230"/>
      <c r="D343" s="231"/>
      <c r="E343" s="116"/>
      <c r="F343" s="76">
        <f>F342/F351</f>
        <v>0.424637037037037</v>
      </c>
      <c r="G343" s="44">
        <f aca="true" t="shared" si="95" ref="G343:T343">G342/G351</f>
        <v>0.4165362318840579</v>
      </c>
      <c r="H343" s="44">
        <f t="shared" si="95"/>
        <v>0.3220034812880766</v>
      </c>
      <c r="I343" s="44">
        <f t="shared" si="95"/>
        <v>0.36426495098039213</v>
      </c>
      <c r="J343" s="44">
        <f t="shared" si="95"/>
        <v>0.6164285714285713</v>
      </c>
      <c r="K343" s="44">
        <f t="shared" si="95"/>
        <v>0.3758333333333334</v>
      </c>
      <c r="L343" s="44">
        <f t="shared" si="95"/>
        <v>0.5530476190476191</v>
      </c>
      <c r="M343" s="44">
        <f t="shared" si="95"/>
        <v>0.1337037037037037</v>
      </c>
      <c r="N343" s="44">
        <f t="shared" si="95"/>
        <v>0.7154166666666666</v>
      </c>
      <c r="O343" s="44">
        <f t="shared" si="95"/>
        <v>0.22097833333333336</v>
      </c>
      <c r="P343" s="44">
        <f t="shared" si="95"/>
        <v>0.6052577777777778</v>
      </c>
      <c r="Q343" s="44">
        <f t="shared" si="95"/>
        <v>0.49999142857142864</v>
      </c>
      <c r="R343" s="44">
        <f t="shared" si="95"/>
        <v>0.7253666666666666</v>
      </c>
      <c r="S343" s="44">
        <f t="shared" si="95"/>
        <v>0.8239555555555556</v>
      </c>
      <c r="T343" s="44">
        <f t="shared" si="95"/>
        <v>0.6426851851851851</v>
      </c>
      <c r="U343" s="48"/>
      <c r="V343" s="41"/>
      <c r="W343" s="41"/>
      <c r="X343" s="41"/>
    </row>
    <row r="344" spans="1:24" s="140" customFormat="1" ht="11.25" customHeight="1">
      <c r="A344" s="158"/>
      <c r="B344" s="159"/>
      <c r="C344" s="159"/>
      <c r="D344" s="159"/>
      <c r="E344" s="170">
        <f>90-E342</f>
        <v>0</v>
      </c>
      <c r="F344" s="155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9"/>
      <c r="U344" s="144"/>
      <c r="V344" s="142"/>
      <c r="W344" s="142"/>
      <c r="X344" s="142"/>
    </row>
    <row r="345" spans="1:24" s="3" customFormat="1" ht="11.25" customHeight="1">
      <c r="A345" s="232" t="s">
        <v>30</v>
      </c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4"/>
      <c r="U345" s="11"/>
      <c r="V345" s="24"/>
      <c r="W345" s="24"/>
      <c r="X345" s="24"/>
    </row>
    <row r="346" spans="1:20" s="129" customFormat="1" ht="11.25" customHeight="1">
      <c r="A346" s="214"/>
      <c r="B346" s="263" t="s">
        <v>129</v>
      </c>
      <c r="C346" s="263"/>
      <c r="D346" s="202">
        <v>100</v>
      </c>
      <c r="E346" s="130">
        <v>26.39</v>
      </c>
      <c r="F346" s="130">
        <v>0.4</v>
      </c>
      <c r="G346" s="130">
        <v>0.4</v>
      </c>
      <c r="H346" s="130">
        <v>9.8</v>
      </c>
      <c r="I346" s="130">
        <f>F346*4+G346*9+H346*4</f>
        <v>44.400000000000006</v>
      </c>
      <c r="J346" s="130">
        <v>0.04</v>
      </c>
      <c r="K346" s="130">
        <v>0.02</v>
      </c>
      <c r="L346" s="131">
        <v>10</v>
      </c>
      <c r="M346" s="131">
        <v>0.02</v>
      </c>
      <c r="N346" s="130">
        <v>0.2</v>
      </c>
      <c r="O346" s="130">
        <v>16</v>
      </c>
      <c r="P346" s="130">
        <v>11</v>
      </c>
      <c r="Q346" s="131">
        <v>0.03</v>
      </c>
      <c r="R346" s="131">
        <v>0.002</v>
      </c>
      <c r="S346" s="130">
        <v>9</v>
      </c>
      <c r="T346" s="130">
        <v>2.2</v>
      </c>
    </row>
    <row r="347" spans="1:20" s="129" customFormat="1" ht="11.25" customHeight="1">
      <c r="A347" s="205">
        <v>377</v>
      </c>
      <c r="B347" s="223" t="s">
        <v>45</v>
      </c>
      <c r="C347" s="223"/>
      <c r="D347" s="206">
        <v>200</v>
      </c>
      <c r="E347" s="136">
        <v>3.61</v>
      </c>
      <c r="F347" s="128">
        <v>0.26</v>
      </c>
      <c r="G347" s="128">
        <v>0.06</v>
      </c>
      <c r="H347" s="128">
        <v>15.22</v>
      </c>
      <c r="I347" s="128">
        <v>62.46</v>
      </c>
      <c r="J347" s="128">
        <v>0</v>
      </c>
      <c r="K347" s="128">
        <v>0.01</v>
      </c>
      <c r="L347" s="128">
        <v>2.9</v>
      </c>
      <c r="M347" s="128">
        <v>0</v>
      </c>
      <c r="N347" s="128">
        <v>0.06</v>
      </c>
      <c r="O347" s="128">
        <v>8.05</v>
      </c>
      <c r="P347" s="128">
        <v>9.78</v>
      </c>
      <c r="Q347" s="128">
        <v>0.017</v>
      </c>
      <c r="R347" s="128">
        <v>0</v>
      </c>
      <c r="S347" s="128">
        <v>5.24</v>
      </c>
      <c r="T347" s="128">
        <v>0.87</v>
      </c>
    </row>
    <row r="348" spans="1:24" s="1" customFormat="1" ht="11.25" customHeight="1">
      <c r="A348" s="61" t="s">
        <v>31</v>
      </c>
      <c r="B348" s="62"/>
      <c r="C348" s="62"/>
      <c r="D348" s="65">
        <f aca="true" t="shared" si="96" ref="D348:I348">SUM(D346:D347)</f>
        <v>300</v>
      </c>
      <c r="E348" s="65">
        <f t="shared" si="96"/>
        <v>30</v>
      </c>
      <c r="F348" s="39">
        <f t="shared" si="96"/>
        <v>0.66</v>
      </c>
      <c r="G348" s="38">
        <f t="shared" si="96"/>
        <v>0.46</v>
      </c>
      <c r="H348" s="38">
        <f t="shared" si="96"/>
        <v>25.020000000000003</v>
      </c>
      <c r="I348" s="38">
        <f t="shared" si="96"/>
        <v>106.86000000000001</v>
      </c>
      <c r="J348" s="38">
        <f aca="true" t="shared" si="97" ref="J348:T348">SUM(J346:J347)</f>
        <v>0.04</v>
      </c>
      <c r="K348" s="38">
        <f t="shared" si="97"/>
        <v>0.03</v>
      </c>
      <c r="L348" s="38">
        <f t="shared" si="97"/>
        <v>12.9</v>
      </c>
      <c r="M348" s="39">
        <f t="shared" si="97"/>
        <v>0.02</v>
      </c>
      <c r="N348" s="39">
        <f t="shared" si="97"/>
        <v>0.26</v>
      </c>
      <c r="O348" s="38">
        <f t="shared" si="97"/>
        <v>24.05</v>
      </c>
      <c r="P348" s="38">
        <f t="shared" si="97"/>
        <v>20.78</v>
      </c>
      <c r="Q348" s="38">
        <f t="shared" si="97"/>
        <v>0.047</v>
      </c>
      <c r="R348" s="40">
        <f t="shared" si="97"/>
        <v>0.002</v>
      </c>
      <c r="S348" s="38">
        <f t="shared" si="97"/>
        <v>14.24</v>
      </c>
      <c r="T348" s="39">
        <f t="shared" si="97"/>
        <v>3.0700000000000003</v>
      </c>
      <c r="U348" s="38"/>
      <c r="V348" s="41"/>
      <c r="W348" s="41"/>
      <c r="X348" s="41"/>
    </row>
    <row r="349" spans="1:24" s="1" customFormat="1" ht="11.25" customHeight="1">
      <c r="A349" s="229" t="s">
        <v>63</v>
      </c>
      <c r="B349" s="230"/>
      <c r="C349" s="230"/>
      <c r="D349" s="231"/>
      <c r="E349" s="116"/>
      <c r="F349" s="76">
        <f>F348/F351</f>
        <v>0.007333333333333334</v>
      </c>
      <c r="G349" s="44">
        <f aca="true" t="shared" si="98" ref="G349:T349">G348/G351</f>
        <v>0.005</v>
      </c>
      <c r="H349" s="44">
        <f t="shared" si="98"/>
        <v>0.06532637075718016</v>
      </c>
      <c r="I349" s="44">
        <f t="shared" si="98"/>
        <v>0.03928676470588236</v>
      </c>
      <c r="J349" s="44">
        <f t="shared" si="98"/>
        <v>0.028571428571428574</v>
      </c>
      <c r="K349" s="44">
        <f t="shared" si="98"/>
        <v>0.01875</v>
      </c>
      <c r="L349" s="44">
        <f t="shared" si="98"/>
        <v>0.1842857142857143</v>
      </c>
      <c r="M349" s="44">
        <f t="shared" si="98"/>
        <v>0.022222222222222223</v>
      </c>
      <c r="N349" s="44">
        <f t="shared" si="98"/>
        <v>0.021666666666666667</v>
      </c>
      <c r="O349" s="44">
        <f t="shared" si="98"/>
        <v>0.020041666666666666</v>
      </c>
      <c r="P349" s="44">
        <f t="shared" si="98"/>
        <v>0.017316666666666668</v>
      </c>
      <c r="Q349" s="44">
        <f t="shared" si="98"/>
        <v>0.003357142857142857</v>
      </c>
      <c r="R349" s="44">
        <f t="shared" si="98"/>
        <v>0.02</v>
      </c>
      <c r="S349" s="44">
        <f t="shared" si="98"/>
        <v>0.047466666666666664</v>
      </c>
      <c r="T349" s="44">
        <f t="shared" si="98"/>
        <v>0.17055555555555557</v>
      </c>
      <c r="U349" s="48"/>
      <c r="V349" s="41"/>
      <c r="W349" s="41"/>
      <c r="X349" s="41"/>
    </row>
    <row r="350" spans="1:24" s="1" customFormat="1" ht="11.25" customHeight="1">
      <c r="A350" s="259" t="s">
        <v>62</v>
      </c>
      <c r="B350" s="260"/>
      <c r="C350" s="260"/>
      <c r="D350" s="261"/>
      <c r="E350" s="120"/>
      <c r="F350" s="39">
        <f aca="true" t="shared" si="99" ref="F350:T350">SUM(F331,F342,F348)</f>
        <v>73.9665</v>
      </c>
      <c r="G350" s="38">
        <f t="shared" si="99"/>
        <v>70.15216666666666</v>
      </c>
      <c r="H350" s="38">
        <f t="shared" si="99"/>
        <v>207.09733333333335</v>
      </c>
      <c r="I350" s="38">
        <f t="shared" si="99"/>
        <v>1755.3548333333333</v>
      </c>
      <c r="J350" s="39">
        <f t="shared" si="99"/>
        <v>1.3639166666666664</v>
      </c>
      <c r="K350" s="39">
        <f t="shared" si="99"/>
        <v>1.142166666666667</v>
      </c>
      <c r="L350" s="38">
        <f t="shared" si="99"/>
        <v>115.64500000000001</v>
      </c>
      <c r="M350" s="39">
        <f t="shared" si="99"/>
        <v>0.24233333333333335</v>
      </c>
      <c r="N350" s="39">
        <f t="shared" si="99"/>
        <v>15.293333333333331</v>
      </c>
      <c r="O350" s="38">
        <f t="shared" si="99"/>
        <v>711.3323333333333</v>
      </c>
      <c r="P350" s="38">
        <f t="shared" si="99"/>
        <v>1306.5276666666666</v>
      </c>
      <c r="Q350" s="39">
        <f t="shared" si="99"/>
        <v>10.722046666666667</v>
      </c>
      <c r="R350" s="40">
        <f t="shared" si="99"/>
        <v>0.15689999999999998</v>
      </c>
      <c r="S350" s="39">
        <f t="shared" si="99"/>
        <v>347.70416666666665</v>
      </c>
      <c r="T350" s="39">
        <f t="shared" si="99"/>
        <v>18.255166666666668</v>
      </c>
      <c r="U350" s="42"/>
      <c r="V350" s="41"/>
      <c r="W350" s="41"/>
      <c r="X350" s="41"/>
    </row>
    <row r="351" spans="1:24" s="1" customFormat="1" ht="11.25" customHeight="1">
      <c r="A351" s="259" t="s">
        <v>64</v>
      </c>
      <c r="B351" s="260"/>
      <c r="C351" s="260"/>
      <c r="D351" s="261"/>
      <c r="E351" s="120"/>
      <c r="F351" s="72">
        <v>90</v>
      </c>
      <c r="G351" s="69">
        <v>92</v>
      </c>
      <c r="H351" s="69">
        <v>383</v>
      </c>
      <c r="I351" s="69">
        <v>2720</v>
      </c>
      <c r="J351" s="72">
        <v>1.4</v>
      </c>
      <c r="K351" s="72">
        <v>1.6</v>
      </c>
      <c r="L351" s="70">
        <v>70</v>
      </c>
      <c r="M351" s="72">
        <v>0.9</v>
      </c>
      <c r="N351" s="70">
        <v>12</v>
      </c>
      <c r="O351" s="70">
        <v>1200</v>
      </c>
      <c r="P351" s="70">
        <v>1200</v>
      </c>
      <c r="Q351" s="70">
        <v>14</v>
      </c>
      <c r="R351" s="69">
        <v>0.1</v>
      </c>
      <c r="S351" s="70">
        <v>300</v>
      </c>
      <c r="T351" s="72">
        <v>18</v>
      </c>
      <c r="U351" s="74"/>
      <c r="V351" s="75"/>
      <c r="W351" s="75"/>
      <c r="X351" s="75"/>
    </row>
    <row r="352" spans="1:24" s="1" customFormat="1" ht="11.25" customHeight="1">
      <c r="A352" s="229" t="s">
        <v>63</v>
      </c>
      <c r="B352" s="230"/>
      <c r="C352" s="230"/>
      <c r="D352" s="231"/>
      <c r="E352" s="116"/>
      <c r="F352" s="76">
        <f aca="true" t="shared" si="100" ref="F352:T352">F350/F351</f>
        <v>0.82185</v>
      </c>
      <c r="G352" s="44">
        <f t="shared" si="100"/>
        <v>0.7625235507246376</v>
      </c>
      <c r="H352" s="44">
        <f t="shared" si="100"/>
        <v>0.5407241079199304</v>
      </c>
      <c r="I352" s="44">
        <f t="shared" si="100"/>
        <v>0.6453510416666667</v>
      </c>
      <c r="J352" s="44">
        <f t="shared" si="100"/>
        <v>0.9742261904761904</v>
      </c>
      <c r="K352" s="44">
        <f t="shared" si="100"/>
        <v>0.7138541666666668</v>
      </c>
      <c r="L352" s="44">
        <f t="shared" si="100"/>
        <v>1.6520714285714286</v>
      </c>
      <c r="M352" s="45">
        <f t="shared" si="100"/>
        <v>0.26925925925925925</v>
      </c>
      <c r="N352" s="44">
        <f t="shared" si="100"/>
        <v>1.2744444444444443</v>
      </c>
      <c r="O352" s="44">
        <f t="shared" si="100"/>
        <v>0.5927769444444444</v>
      </c>
      <c r="P352" s="44">
        <f t="shared" si="100"/>
        <v>1.0887730555555555</v>
      </c>
      <c r="Q352" s="44">
        <f t="shared" si="100"/>
        <v>0.7658604761904763</v>
      </c>
      <c r="R352" s="45">
        <f t="shared" si="100"/>
        <v>1.5689999999999997</v>
      </c>
      <c r="S352" s="44">
        <f t="shared" si="100"/>
        <v>1.1590138888888888</v>
      </c>
      <c r="T352" s="45">
        <f t="shared" si="100"/>
        <v>1.014175925925926</v>
      </c>
      <c r="U352" s="46"/>
      <c r="V352" s="47"/>
      <c r="W352" s="47"/>
      <c r="X352" s="47"/>
    </row>
    <row r="353" spans="1:24" s="1" customFormat="1" ht="11.25" customHeight="1">
      <c r="A353" s="54"/>
      <c r="B353" s="54"/>
      <c r="C353" s="110"/>
      <c r="D353" s="110"/>
      <c r="E353" s="117"/>
      <c r="F353" s="102"/>
      <c r="G353" s="71"/>
      <c r="H353" s="2"/>
      <c r="I353" s="2"/>
      <c r="J353" s="71"/>
      <c r="K353" s="71"/>
      <c r="L353" s="71"/>
      <c r="M353" s="269" t="s">
        <v>66</v>
      </c>
      <c r="N353" s="269"/>
      <c r="O353" s="269"/>
      <c r="P353" s="269"/>
      <c r="Q353" s="269"/>
      <c r="R353" s="269"/>
      <c r="S353" s="269"/>
      <c r="T353" s="269"/>
      <c r="U353" s="12"/>
      <c r="V353" s="19"/>
      <c r="W353" s="19"/>
      <c r="X353" s="19"/>
    </row>
    <row r="354" spans="1:24" s="1" customFormat="1" ht="11.25" customHeight="1">
      <c r="A354" s="54"/>
      <c r="B354" s="54"/>
      <c r="C354" s="110"/>
      <c r="D354" s="110"/>
      <c r="E354" s="117"/>
      <c r="F354" s="102"/>
      <c r="G354" s="71"/>
      <c r="H354" s="2"/>
      <c r="I354" s="2"/>
      <c r="J354" s="71"/>
      <c r="K354" s="71"/>
      <c r="L354" s="71"/>
      <c r="M354" s="111"/>
      <c r="N354" s="111"/>
      <c r="O354" s="111"/>
      <c r="P354" s="111"/>
      <c r="Q354" s="111"/>
      <c r="R354" s="111"/>
      <c r="S354" s="111"/>
      <c r="T354" s="111"/>
      <c r="U354" s="12"/>
      <c r="V354" s="19"/>
      <c r="W354" s="19"/>
      <c r="X354" s="19"/>
    </row>
    <row r="355" spans="1:24" ht="11.25" customHeight="1">
      <c r="A355" s="54"/>
      <c r="B355" s="54"/>
      <c r="C355" s="54"/>
      <c r="D355" s="71"/>
      <c r="E355" s="71"/>
      <c r="F355" s="34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14"/>
      <c r="V355" s="20"/>
      <c r="W355" s="20"/>
      <c r="X355" s="20"/>
    </row>
    <row r="356" spans="1:24" ht="29.25" customHeight="1">
      <c r="A356" s="290" t="s">
        <v>68</v>
      </c>
      <c r="B356" s="290"/>
      <c r="C356" s="290"/>
      <c r="D356" s="290"/>
      <c r="E356" s="290"/>
      <c r="F356" s="290"/>
      <c r="G356" s="290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  <c r="U356" s="14"/>
      <c r="V356" s="20"/>
      <c r="W356" s="20"/>
      <c r="X356" s="20"/>
    </row>
    <row r="357" spans="1:24" ht="29.25" customHeight="1">
      <c r="A357" s="55"/>
      <c r="B357" s="55"/>
      <c r="C357" s="55"/>
      <c r="D357" s="4"/>
      <c r="E357" s="4"/>
      <c r="F357" s="103"/>
      <c r="G357" s="4"/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17"/>
      <c r="V357" s="20"/>
      <c r="W357" s="20"/>
      <c r="X357" s="20"/>
    </row>
    <row r="358" spans="1:24" s="95" customFormat="1" ht="13.5" customHeight="1">
      <c r="A358" s="96"/>
      <c r="B358" s="96"/>
      <c r="C358" s="96"/>
      <c r="D358" s="96"/>
      <c r="E358" s="96"/>
      <c r="F358" s="104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7"/>
      <c r="W358" s="94"/>
      <c r="X358" s="94"/>
    </row>
  </sheetData>
  <sheetProtection/>
  <autoFilter ref="B1:B358"/>
  <mergeCells count="402">
    <mergeCell ref="B231:C231"/>
    <mergeCell ref="B237:C237"/>
    <mergeCell ref="B238:C238"/>
    <mergeCell ref="B16:C16"/>
    <mergeCell ref="B195:C195"/>
    <mergeCell ref="B55:C55"/>
    <mergeCell ref="B54:C54"/>
    <mergeCell ref="B60:C60"/>
    <mergeCell ref="B189:C189"/>
    <mergeCell ref="B164:C164"/>
    <mergeCell ref="B270:C270"/>
    <mergeCell ref="A356:T356"/>
    <mergeCell ref="B126:C126"/>
    <mergeCell ref="B82:C82"/>
    <mergeCell ref="B294:C294"/>
    <mergeCell ref="B83:C83"/>
    <mergeCell ref="B89:C89"/>
    <mergeCell ref="B203:C203"/>
    <mergeCell ref="B92:C92"/>
    <mergeCell ref="B115:C115"/>
    <mergeCell ref="B163:C163"/>
    <mergeCell ref="A228:D228"/>
    <mergeCell ref="A212:D212"/>
    <mergeCell ref="O287:T287"/>
    <mergeCell ref="M282:T282"/>
    <mergeCell ref="B151:C151"/>
    <mergeCell ref="B201:C201"/>
    <mergeCell ref="B209:C209"/>
    <mergeCell ref="B276:C276"/>
    <mergeCell ref="B185:C185"/>
    <mergeCell ref="B188:C188"/>
    <mergeCell ref="L286:M286"/>
    <mergeCell ref="L41:M41"/>
    <mergeCell ref="A281:D281"/>
    <mergeCell ref="B259:C259"/>
    <mergeCell ref="B275:C275"/>
    <mergeCell ref="A216:T216"/>
    <mergeCell ref="I42:I43"/>
    <mergeCell ref="A86:D86"/>
    <mergeCell ref="A123:T123"/>
    <mergeCell ref="D252:F252"/>
    <mergeCell ref="B53:C53"/>
    <mergeCell ref="A205:D205"/>
    <mergeCell ref="B257:C257"/>
    <mergeCell ref="A39:T39"/>
    <mergeCell ref="A42:A43"/>
    <mergeCell ref="B47:C47"/>
    <mergeCell ref="B66:C66"/>
    <mergeCell ref="B56:C56"/>
    <mergeCell ref="B48:C48"/>
    <mergeCell ref="U1:U4"/>
    <mergeCell ref="B57:C57"/>
    <mergeCell ref="A64:T64"/>
    <mergeCell ref="L4:M4"/>
    <mergeCell ref="B200:C200"/>
    <mergeCell ref="A279:D279"/>
    <mergeCell ref="B264:C264"/>
    <mergeCell ref="B269:C269"/>
    <mergeCell ref="A248:D248"/>
    <mergeCell ref="B232:C232"/>
    <mergeCell ref="B268:C268"/>
    <mergeCell ref="B226:C226"/>
    <mergeCell ref="B236:C236"/>
    <mergeCell ref="J287:N287"/>
    <mergeCell ref="X1:X4"/>
    <mergeCell ref="J5:N5"/>
    <mergeCell ref="M1:T1"/>
    <mergeCell ref="A2:T2"/>
    <mergeCell ref="G3:I3"/>
    <mergeCell ref="B5:C6"/>
    <mergeCell ref="A144:T144"/>
    <mergeCell ref="L3:M3"/>
    <mergeCell ref="D4:F4"/>
    <mergeCell ref="A141:D141"/>
    <mergeCell ref="B136:C136"/>
    <mergeCell ref="A351:D351"/>
    <mergeCell ref="A350:D350"/>
    <mergeCell ref="A316:D316"/>
    <mergeCell ref="B260:C260"/>
    <mergeCell ref="D287:D288"/>
    <mergeCell ref="L145:M145"/>
    <mergeCell ref="A284:T284"/>
    <mergeCell ref="B295:C295"/>
    <mergeCell ref="G145:I145"/>
    <mergeCell ref="F147:H147"/>
    <mergeCell ref="V1:V4"/>
    <mergeCell ref="A98:D98"/>
    <mergeCell ref="B118:C118"/>
    <mergeCell ref="B124:C124"/>
    <mergeCell ref="B44:C44"/>
    <mergeCell ref="N146:T146"/>
    <mergeCell ref="O147:T147"/>
    <mergeCell ref="D146:F146"/>
    <mergeCell ref="L146:M146"/>
    <mergeCell ref="I147:I148"/>
    <mergeCell ref="B128:C128"/>
    <mergeCell ref="A140:D140"/>
    <mergeCell ref="B129:C129"/>
    <mergeCell ref="B135:C135"/>
    <mergeCell ref="M142:T142"/>
    <mergeCell ref="A139:D139"/>
    <mergeCell ref="A104:D104"/>
    <mergeCell ref="A105:D105"/>
    <mergeCell ref="A106:D106"/>
    <mergeCell ref="A121:D121"/>
    <mergeCell ref="A132:D132"/>
    <mergeCell ref="B119:C119"/>
    <mergeCell ref="B130:C130"/>
    <mergeCell ref="A138:D138"/>
    <mergeCell ref="B42:C43"/>
    <mergeCell ref="M72:T72"/>
    <mergeCell ref="A74:T74"/>
    <mergeCell ref="A62:D62"/>
    <mergeCell ref="B59:C59"/>
    <mergeCell ref="A68:D68"/>
    <mergeCell ref="O42:T42"/>
    <mergeCell ref="A71:D71"/>
    <mergeCell ref="D42:D43"/>
    <mergeCell ref="B58:C58"/>
    <mergeCell ref="M38:T38"/>
    <mergeCell ref="G40:I40"/>
    <mergeCell ref="A52:T52"/>
    <mergeCell ref="B49:C49"/>
    <mergeCell ref="A51:D51"/>
    <mergeCell ref="B46:C46"/>
    <mergeCell ref="J42:N42"/>
    <mergeCell ref="F42:H42"/>
    <mergeCell ref="A45:T45"/>
    <mergeCell ref="D41:F41"/>
    <mergeCell ref="D5:D6"/>
    <mergeCell ref="B12:C12"/>
    <mergeCell ref="A15:D15"/>
    <mergeCell ref="B10:C10"/>
    <mergeCell ref="L40:M40"/>
    <mergeCell ref="N41:T41"/>
    <mergeCell ref="B19:C19"/>
    <mergeCell ref="A18:T18"/>
    <mergeCell ref="B24:C24"/>
    <mergeCell ref="B26:C26"/>
    <mergeCell ref="A30:T30"/>
    <mergeCell ref="B25:C25"/>
    <mergeCell ref="A28:D28"/>
    <mergeCell ref="N4:T4"/>
    <mergeCell ref="O5:T5"/>
    <mergeCell ref="A8:T8"/>
    <mergeCell ref="F5:H5"/>
    <mergeCell ref="I5:I6"/>
    <mergeCell ref="B7:C7"/>
    <mergeCell ref="A5:A6"/>
    <mergeCell ref="D77:D78"/>
    <mergeCell ref="B65:C65"/>
    <mergeCell ref="B13:C13"/>
    <mergeCell ref="B22:C22"/>
    <mergeCell ref="A34:D34"/>
    <mergeCell ref="A36:D36"/>
    <mergeCell ref="B21:C21"/>
    <mergeCell ref="B31:C31"/>
    <mergeCell ref="B32:C32"/>
    <mergeCell ref="B23:C23"/>
    <mergeCell ref="B81:C81"/>
    <mergeCell ref="G75:I75"/>
    <mergeCell ref="L75:M75"/>
    <mergeCell ref="L76:M76"/>
    <mergeCell ref="A88:T88"/>
    <mergeCell ref="B9:C9"/>
    <mergeCell ref="B11:C11"/>
    <mergeCell ref="A37:D37"/>
    <mergeCell ref="A35:D35"/>
    <mergeCell ref="J77:N77"/>
    <mergeCell ref="B96:C96"/>
    <mergeCell ref="A108:T108"/>
    <mergeCell ref="A100:T100"/>
    <mergeCell ref="B90:C90"/>
    <mergeCell ref="N76:T76"/>
    <mergeCell ref="A77:A78"/>
    <mergeCell ref="O77:T77"/>
    <mergeCell ref="B77:C78"/>
    <mergeCell ref="B101:C101"/>
    <mergeCell ref="A80:T80"/>
    <mergeCell ref="G109:I109"/>
    <mergeCell ref="L109:M109"/>
    <mergeCell ref="F77:H77"/>
    <mergeCell ref="I77:I78"/>
    <mergeCell ref="B91:C91"/>
    <mergeCell ref="B95:C95"/>
    <mergeCell ref="B79:C79"/>
    <mergeCell ref="B102:C102"/>
    <mergeCell ref="B84:C84"/>
    <mergeCell ref="B93:C93"/>
    <mergeCell ref="D110:F110"/>
    <mergeCell ref="L110:M110"/>
    <mergeCell ref="N110:T110"/>
    <mergeCell ref="B113:C113"/>
    <mergeCell ref="A114:T114"/>
    <mergeCell ref="I111:I112"/>
    <mergeCell ref="O111:T111"/>
    <mergeCell ref="F111:H111"/>
    <mergeCell ref="J111:N111"/>
    <mergeCell ref="B116:C116"/>
    <mergeCell ref="B125:C125"/>
    <mergeCell ref="A134:T134"/>
    <mergeCell ref="B127:C127"/>
    <mergeCell ref="A158:D158"/>
    <mergeCell ref="A160:T160"/>
    <mergeCell ref="B161:C161"/>
    <mergeCell ref="B153:C153"/>
    <mergeCell ref="B154:C154"/>
    <mergeCell ref="B147:C148"/>
    <mergeCell ref="D147:D148"/>
    <mergeCell ref="A147:A148"/>
    <mergeCell ref="B149:C149"/>
    <mergeCell ref="A177:D177"/>
    <mergeCell ref="A178:D178"/>
    <mergeCell ref="A175:D175"/>
    <mergeCell ref="B165:C165"/>
    <mergeCell ref="B162:C162"/>
    <mergeCell ref="B155:C155"/>
    <mergeCell ref="B167:C167"/>
    <mergeCell ref="A171:T171"/>
    <mergeCell ref="B172:C172"/>
    <mergeCell ref="B166:C166"/>
    <mergeCell ref="L181:M181"/>
    <mergeCell ref="L182:M182"/>
    <mergeCell ref="N182:T182"/>
    <mergeCell ref="A183:A184"/>
    <mergeCell ref="B183:C184"/>
    <mergeCell ref="D183:D184"/>
    <mergeCell ref="I183:I184"/>
    <mergeCell ref="O183:T183"/>
    <mergeCell ref="D182:F182"/>
    <mergeCell ref="M215:T215"/>
    <mergeCell ref="B202:C202"/>
    <mergeCell ref="A207:T207"/>
    <mergeCell ref="A213:D213"/>
    <mergeCell ref="A214:D214"/>
    <mergeCell ref="B197:C197"/>
    <mergeCell ref="B198:C198"/>
    <mergeCell ref="B208:C208"/>
    <mergeCell ref="B187:C187"/>
    <mergeCell ref="N217:Q217"/>
    <mergeCell ref="D219:D220"/>
    <mergeCell ref="F219:H219"/>
    <mergeCell ref="I219:I220"/>
    <mergeCell ref="J219:N219"/>
    <mergeCell ref="G217:I217"/>
    <mergeCell ref="L217:M217"/>
    <mergeCell ref="D218:F218"/>
    <mergeCell ref="L218:M218"/>
    <mergeCell ref="O219:T219"/>
    <mergeCell ref="J253:N253"/>
    <mergeCell ref="N218:T218"/>
    <mergeCell ref="B233:C233"/>
    <mergeCell ref="A250:T250"/>
    <mergeCell ref="N251:Q251"/>
    <mergeCell ref="O253:T253"/>
    <mergeCell ref="B243:C243"/>
    <mergeCell ref="A246:D246"/>
    <mergeCell ref="A247:D247"/>
    <mergeCell ref="I253:I254"/>
    <mergeCell ref="B258:C258"/>
    <mergeCell ref="A253:A254"/>
    <mergeCell ref="B253:C254"/>
    <mergeCell ref="D253:D254"/>
    <mergeCell ref="B287:C288"/>
    <mergeCell ref="I287:I288"/>
    <mergeCell ref="A280:D280"/>
    <mergeCell ref="A278:D278"/>
    <mergeCell ref="D286:F286"/>
    <mergeCell ref="A297:D297"/>
    <mergeCell ref="B255:C255"/>
    <mergeCell ref="A256:T256"/>
    <mergeCell ref="F253:H253"/>
    <mergeCell ref="A263:T263"/>
    <mergeCell ref="A299:T299"/>
    <mergeCell ref="B292:C292"/>
    <mergeCell ref="G285:I285"/>
    <mergeCell ref="L285:M285"/>
    <mergeCell ref="B265:C265"/>
    <mergeCell ref="A314:D314"/>
    <mergeCell ref="A262:D262"/>
    <mergeCell ref="N286:T286"/>
    <mergeCell ref="B291:C291"/>
    <mergeCell ref="B289:C289"/>
    <mergeCell ref="A290:T290"/>
    <mergeCell ref="B266:C266"/>
    <mergeCell ref="F287:H287"/>
    <mergeCell ref="B293:C293"/>
    <mergeCell ref="A287:A288"/>
    <mergeCell ref="B267:C267"/>
    <mergeCell ref="A349:D349"/>
    <mergeCell ref="M353:T353"/>
    <mergeCell ref="B340:C340"/>
    <mergeCell ref="B329:C329"/>
    <mergeCell ref="A334:T334"/>
    <mergeCell ref="B330:C330"/>
    <mergeCell ref="B341:C341"/>
    <mergeCell ref="A345:T345"/>
    <mergeCell ref="B339:C339"/>
    <mergeCell ref="A352:D352"/>
    <mergeCell ref="B346:C346"/>
    <mergeCell ref="B347:C347"/>
    <mergeCell ref="A343:D343"/>
    <mergeCell ref="B323:C323"/>
    <mergeCell ref="B325:C325"/>
    <mergeCell ref="B338:C338"/>
    <mergeCell ref="A324:T324"/>
    <mergeCell ref="B336:C336"/>
    <mergeCell ref="A332:D332"/>
    <mergeCell ref="B327:C327"/>
    <mergeCell ref="B335:C335"/>
    <mergeCell ref="F321:H321"/>
    <mergeCell ref="I321:I322"/>
    <mergeCell ref="B328:C328"/>
    <mergeCell ref="B337:C337"/>
    <mergeCell ref="D321:D322"/>
    <mergeCell ref="L320:M320"/>
    <mergeCell ref="N319:Q319"/>
    <mergeCell ref="A318:T318"/>
    <mergeCell ref="N320:T320"/>
    <mergeCell ref="B326:C326"/>
    <mergeCell ref="D320:F320"/>
    <mergeCell ref="O321:T321"/>
    <mergeCell ref="A308:D308"/>
    <mergeCell ref="B302:C302"/>
    <mergeCell ref="B303:C303"/>
    <mergeCell ref="A317:D317"/>
    <mergeCell ref="A321:A322"/>
    <mergeCell ref="J321:N321"/>
    <mergeCell ref="A310:T310"/>
    <mergeCell ref="A315:D315"/>
    <mergeCell ref="B321:C322"/>
    <mergeCell ref="L319:M319"/>
    <mergeCell ref="J183:N183"/>
    <mergeCell ref="N181:Q181"/>
    <mergeCell ref="G181:I181"/>
    <mergeCell ref="B300:C300"/>
    <mergeCell ref="N285:Q285"/>
    <mergeCell ref="G319:I319"/>
    <mergeCell ref="B311:C311"/>
    <mergeCell ref="B304:C304"/>
    <mergeCell ref="B305:C305"/>
    <mergeCell ref="B306:C306"/>
    <mergeCell ref="B20:C20"/>
    <mergeCell ref="B94:C94"/>
    <mergeCell ref="D76:F76"/>
    <mergeCell ref="A69:D69"/>
    <mergeCell ref="A70:D70"/>
    <mergeCell ref="A180:T180"/>
    <mergeCell ref="B173:C173"/>
    <mergeCell ref="M179:T179"/>
    <mergeCell ref="A169:D169"/>
    <mergeCell ref="A176:D176"/>
    <mergeCell ref="B156:C156"/>
    <mergeCell ref="N3:Q3"/>
    <mergeCell ref="N40:Q40"/>
    <mergeCell ref="N75:Q75"/>
    <mergeCell ref="N109:Q109"/>
    <mergeCell ref="N145:Q145"/>
    <mergeCell ref="A107:D107"/>
    <mergeCell ref="J147:N147"/>
    <mergeCell ref="A150:T150"/>
    <mergeCell ref="B152:C152"/>
    <mergeCell ref="V117:V119"/>
    <mergeCell ref="B199:C199"/>
    <mergeCell ref="X117:X119"/>
    <mergeCell ref="B117:C117"/>
    <mergeCell ref="A111:A112"/>
    <mergeCell ref="B111:C112"/>
    <mergeCell ref="D111:D112"/>
    <mergeCell ref="B190:C190"/>
    <mergeCell ref="A186:T186"/>
    <mergeCell ref="W117:W119"/>
    <mergeCell ref="A219:A220"/>
    <mergeCell ref="B219:C220"/>
    <mergeCell ref="L251:M251"/>
    <mergeCell ref="F183:H183"/>
    <mergeCell ref="B235:C235"/>
    <mergeCell ref="B225:C225"/>
    <mergeCell ref="B223:C223"/>
    <mergeCell ref="A222:T222"/>
    <mergeCell ref="B224:C224"/>
    <mergeCell ref="B221:C221"/>
    <mergeCell ref="L252:M252"/>
    <mergeCell ref="B191:C191"/>
    <mergeCell ref="A193:D193"/>
    <mergeCell ref="A196:T196"/>
    <mergeCell ref="A211:D211"/>
    <mergeCell ref="A240:D240"/>
    <mergeCell ref="N252:T252"/>
    <mergeCell ref="G251:I251"/>
    <mergeCell ref="B234:C234"/>
    <mergeCell ref="A230:T230"/>
    <mergeCell ref="V311:V313"/>
    <mergeCell ref="W311:W313"/>
    <mergeCell ref="B301:C301"/>
    <mergeCell ref="X311:X313"/>
    <mergeCell ref="B312:C312"/>
    <mergeCell ref="A242:T242"/>
    <mergeCell ref="B244:C244"/>
    <mergeCell ref="A249:D249"/>
    <mergeCell ref="A272:D272"/>
    <mergeCell ref="A274:T274"/>
  </mergeCells>
  <printOptions/>
  <pageMargins left="0.7" right="0.7" top="0.75" bottom="0.75" header="0.3" footer="0.3"/>
  <pageSetup horizontalDpi="600" verticalDpi="600" orientation="landscape" paperSize="9" scale="79" r:id="rId1"/>
  <rowBreaks count="10" manualBreakCount="10">
    <brk id="37" max="19" man="1"/>
    <brk id="71" max="19" man="1"/>
    <brk id="107" max="19" man="1"/>
    <brk id="141" max="255" man="1"/>
    <brk id="178" max="19" man="1"/>
    <brk id="214" max="19" man="1"/>
    <brk id="249" max="19" man="1"/>
    <brk id="281" max="19" man="1"/>
    <brk id="317" max="19" man="1"/>
    <brk id="3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komp</cp:lastModifiedBy>
  <cp:lastPrinted>2023-08-22T13:00:56Z</cp:lastPrinted>
  <dcterms:created xsi:type="dcterms:W3CDTF">2017-06-07T09:01:22Z</dcterms:created>
  <dcterms:modified xsi:type="dcterms:W3CDTF">2023-08-25T13:47:13Z</dcterms:modified>
  <cp:category/>
  <cp:version/>
  <cp:contentType/>
  <cp:contentStatus/>
  <cp:revision>1</cp:revision>
</cp:coreProperties>
</file>